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9285" activeTab="1"/>
  </bookViews>
  <sheets>
    <sheet name="RECEITA" sheetId="1" r:id="rId1"/>
    <sheet name="GESTÃO" sheetId="2" r:id="rId2"/>
  </sheets>
  <definedNames>
    <definedName name="_Toc464472752" localSheetId="0">RECEITA!#REF!</definedName>
  </definedNames>
  <calcPr calcId="145621"/>
</workbook>
</file>

<file path=xl/calcChain.xml><?xml version="1.0" encoding="utf-8"?>
<calcChain xmlns="http://schemas.openxmlformats.org/spreadsheetml/2006/main">
  <c r="J96" i="2" l="1"/>
  <c r="I96" i="2"/>
  <c r="H96" i="2"/>
  <c r="G96" i="2"/>
  <c r="P37" i="2"/>
  <c r="O37" i="2"/>
  <c r="N37" i="2"/>
  <c r="J52" i="2" l="1"/>
  <c r="I52" i="2"/>
  <c r="H52" i="2"/>
  <c r="J51" i="2"/>
  <c r="I51" i="2"/>
  <c r="H51" i="2"/>
  <c r="J50" i="2"/>
  <c r="I50" i="2"/>
  <c r="H50" i="2"/>
  <c r="J49" i="2"/>
  <c r="I49" i="2"/>
  <c r="H49" i="2"/>
  <c r="J48" i="2"/>
  <c r="I48" i="2"/>
  <c r="H48" i="2"/>
  <c r="J42" i="2"/>
  <c r="I42" i="2"/>
  <c r="H42" i="2"/>
  <c r="J41" i="2"/>
  <c r="I41" i="2"/>
  <c r="H41" i="2"/>
  <c r="O46" i="2"/>
  <c r="O45" i="2"/>
  <c r="O44" i="2"/>
  <c r="O43" i="2"/>
  <c r="M37" i="2"/>
  <c r="M54" i="2" l="1"/>
  <c r="M66" i="2" l="1"/>
  <c r="M78" i="2" l="1"/>
  <c r="O63" i="2"/>
  <c r="O62" i="2"/>
  <c r="O61" i="2"/>
  <c r="H65" i="2" s="1"/>
  <c r="O60" i="2"/>
  <c r="M19" i="2"/>
  <c r="H66" i="2" l="1"/>
  <c r="N66" i="2" s="1"/>
  <c r="H72" i="2"/>
  <c r="I72" i="2" s="1"/>
  <c r="J72" i="2" s="1"/>
  <c r="I65" i="2"/>
  <c r="H59" i="2"/>
  <c r="I59" i="2" s="1"/>
  <c r="J59" i="2" s="1"/>
  <c r="H58" i="2"/>
  <c r="I66" i="2"/>
  <c r="J66" i="2" s="1"/>
  <c r="I58" i="2" l="1"/>
  <c r="N54" i="2"/>
  <c r="O66" i="2"/>
  <c r="J65" i="2"/>
  <c r="P66" i="2" s="1"/>
  <c r="Q10" i="2"/>
  <c r="Q9" i="2"/>
  <c r="Q8" i="2"/>
  <c r="H35" i="2" s="1"/>
  <c r="Q7" i="2"/>
  <c r="J58" i="2" l="1"/>
  <c r="P54" i="2" s="1"/>
  <c r="O54" i="2"/>
  <c r="I35" i="2"/>
  <c r="H28" i="2"/>
  <c r="I28" i="2" s="1"/>
  <c r="J28" i="2" s="1"/>
  <c r="H26" i="2"/>
  <c r="I26" i="2" s="1"/>
  <c r="J26" i="2" s="1"/>
  <c r="H27" i="2"/>
  <c r="I27" i="2" s="1"/>
  <c r="J27" i="2" s="1"/>
  <c r="H29" i="2"/>
  <c r="I29" i="2" s="1"/>
  <c r="J29" i="2" s="1"/>
  <c r="H19" i="2"/>
  <c r="I19" i="2" s="1"/>
  <c r="J19" i="2" s="1"/>
  <c r="H78" i="2"/>
  <c r="H79" i="2"/>
  <c r="I79" i="2" s="1"/>
  <c r="J79" i="2" s="1"/>
  <c r="H20" i="2"/>
  <c r="I20" i="2" s="1"/>
  <c r="J20" i="2" s="1"/>
  <c r="H7" i="2"/>
  <c r="I8" i="1"/>
  <c r="H13" i="1"/>
  <c r="I13" i="1"/>
  <c r="J13" i="1" s="1"/>
  <c r="J12" i="1"/>
  <c r="G13" i="1"/>
  <c r="E6" i="1"/>
  <c r="I7" i="2" l="1"/>
  <c r="N19" i="2"/>
  <c r="I78" i="2"/>
  <c r="N78" i="2"/>
  <c r="J35" i="2"/>
  <c r="H10" i="1"/>
  <c r="I10" i="1" s="1"/>
  <c r="J10" i="1" s="1"/>
  <c r="H9" i="1"/>
  <c r="I9" i="1" s="1"/>
  <c r="J9" i="1" s="1"/>
  <c r="I17" i="1"/>
  <c r="J17" i="1" s="1"/>
  <c r="I16" i="1"/>
  <c r="J16" i="1" s="1"/>
  <c r="I15" i="1"/>
  <c r="J15" i="1" s="1"/>
  <c r="I12" i="1"/>
  <c r="J8" i="1"/>
  <c r="H21" i="1"/>
  <c r="I21" i="1" s="1"/>
  <c r="J21" i="1" s="1"/>
  <c r="H20" i="1"/>
  <c r="I20" i="1" s="1"/>
  <c r="J20" i="1" s="1"/>
  <c r="H19" i="1"/>
  <c r="I19" i="1" s="1"/>
  <c r="J19" i="1" s="1"/>
  <c r="H18" i="1"/>
  <c r="I18" i="1" s="1"/>
  <c r="J18" i="1" s="1"/>
  <c r="H17" i="1"/>
  <c r="H16" i="1"/>
  <c r="H15" i="1"/>
  <c r="H12" i="1"/>
  <c r="H11" i="1"/>
  <c r="I11" i="1" s="1"/>
  <c r="J11" i="1" s="1"/>
  <c r="H8" i="1"/>
  <c r="H7" i="1"/>
  <c r="I7" i="1" s="1"/>
  <c r="J7" i="1" s="1"/>
  <c r="C35" i="1"/>
  <c r="C36" i="1"/>
  <c r="C37" i="1"/>
  <c r="C38" i="1"/>
  <c r="G14" i="1"/>
  <c r="F6" i="1"/>
  <c r="F12" i="1"/>
  <c r="G17" i="1"/>
  <c r="G18" i="1"/>
  <c r="G19" i="1"/>
  <c r="G20" i="1"/>
  <c r="G21" i="1"/>
  <c r="G16" i="1"/>
  <c r="G7" i="1"/>
  <c r="G8" i="1"/>
  <c r="G9" i="1"/>
  <c r="G10" i="1"/>
  <c r="G11" i="1"/>
  <c r="F14" i="1"/>
  <c r="G15" i="1"/>
  <c r="D14" i="1"/>
  <c r="D22" i="1" s="1"/>
  <c r="C14" i="1"/>
  <c r="C5" i="1"/>
  <c r="D5" i="1"/>
  <c r="E12" i="1"/>
  <c r="E14" i="1"/>
  <c r="J78" i="2" l="1"/>
  <c r="P78" i="2" s="1"/>
  <c r="O78" i="2"/>
  <c r="J7" i="2"/>
  <c r="P19" i="2" s="1"/>
  <c r="O19" i="2"/>
  <c r="J14" i="1"/>
  <c r="I14" i="1"/>
  <c r="H14" i="1"/>
  <c r="E5" i="1"/>
  <c r="E22" i="1" s="1"/>
  <c r="G12" i="1"/>
  <c r="F5" i="1"/>
  <c r="F22" i="1" s="1"/>
  <c r="G5" i="1"/>
  <c r="C22" i="1"/>
  <c r="I5" i="1" l="1"/>
  <c r="I22" i="1" s="1"/>
  <c r="H5" i="1"/>
  <c r="H22" i="1" s="1"/>
  <c r="G22" i="1"/>
  <c r="J5" i="1" l="1"/>
  <c r="J22" i="1" s="1"/>
</calcChain>
</file>

<file path=xl/sharedStrings.xml><?xml version="1.0" encoding="utf-8"?>
<sst xmlns="http://schemas.openxmlformats.org/spreadsheetml/2006/main" count="250" uniqueCount="134">
  <si>
    <t>Categoria Econômica e Origem</t>
  </si>
  <si>
    <t>1.0.0.0.00.0.0</t>
  </si>
  <si>
    <t>RECEITAS CORRENTES</t>
  </si>
  <si>
    <t>1.1.0.0.00.0.0</t>
  </si>
  <si>
    <t>1.2.0.0.00.0.0</t>
  </si>
  <si>
    <t>Contribuições</t>
  </si>
  <si>
    <t>1.3.0.0.00.0.0</t>
  </si>
  <si>
    <t>Receita Patrimonial</t>
  </si>
  <si>
    <t>1.4.0.0.00.1.1</t>
  </si>
  <si>
    <t>1.5.0.0.00.1.1</t>
  </si>
  <si>
    <t>1.6.0.0.00.0.0</t>
  </si>
  <si>
    <t>Receita de Serviços</t>
  </si>
  <si>
    <t>1.7.0.0.00.0.0</t>
  </si>
  <si>
    <t>Transferências Correntes</t>
  </si>
  <si>
    <t>1.9.0.0.00.0.0</t>
  </si>
  <si>
    <t>Outras Receitas Correntes</t>
  </si>
  <si>
    <t>2.0.0.0.00.0.0</t>
  </si>
  <si>
    <t>RECEITAS DE CAPITAL</t>
  </si>
  <si>
    <t>2.1.0.0.00.0.0</t>
  </si>
  <si>
    <t>Operações de Crédito</t>
  </si>
  <si>
    <t>2.2.0.0.00.0.0</t>
  </si>
  <si>
    <t>Alienação de Bens</t>
  </si>
  <si>
    <t>2.3.0.0.00.0.0</t>
  </si>
  <si>
    <t>Amortização de Empréstimos</t>
  </si>
  <si>
    <t>2.4.0.0.00.0.0</t>
  </si>
  <si>
    <t>Transferências de Capital</t>
  </si>
  <si>
    <t>2.9.0.0.00.0.0</t>
  </si>
  <si>
    <t>Outras receitas de Capital</t>
  </si>
  <si>
    <t>7.0.0.0.00.0.0</t>
  </si>
  <si>
    <t>RECEITAS CORRENTES INTRA</t>
  </si>
  <si>
    <t>8.0.0.0.00.0.0</t>
  </si>
  <si>
    <t>RECEITAS DE CAPITAL INTRA</t>
  </si>
  <si>
    <t>Receita Agropecuária - Principal</t>
  </si>
  <si>
    <t>Receita Industrial - Principal</t>
  </si>
  <si>
    <t>Previsão</t>
  </si>
  <si>
    <t xml:space="preserve">Previsão até o Término de </t>
  </si>
  <si>
    <t>Receita Arrecadada</t>
  </si>
  <si>
    <t>Percentual</t>
  </si>
  <si>
    <t>Número</t>
  </si>
  <si>
    <t>Metodologia de cálculo:</t>
  </si>
  <si>
    <t>João Paulo Beltrão dos Santos,</t>
  </si>
  <si>
    <t xml:space="preserve">       Fabio da Silva Weischung,</t>
  </si>
  <si>
    <t xml:space="preserve">        Prefeito Municipal.</t>
  </si>
  <si>
    <t>Contadora CRC/RS 100434/O.</t>
  </si>
  <si>
    <t xml:space="preserve">  Tec. Contábil CRC/RS 076956-7.</t>
  </si>
  <si>
    <t>a) analisando as receitas arrecadadas identificou-se que houve excesso de arrecadação no período, ou seja, a arrecadaçõ superou o valor previsto.</t>
  </si>
  <si>
    <t>c) o anexo se encontra em consonância com o Plano de Contas Aplicado ao Setor Público (PCASP) e Manual de Contabilidade Aplicada ao Setor Público (MCASP), os quais poderão sofrer ajustes.</t>
  </si>
  <si>
    <t>Impostos, Taxas e Contr. de Mel.</t>
  </si>
  <si>
    <t xml:space="preserve">Variação do </t>
  </si>
  <si>
    <t>IPCA</t>
  </si>
  <si>
    <t>Valores</t>
  </si>
  <si>
    <t>Título</t>
  </si>
  <si>
    <t>Gestão do Poder Legislativo</t>
  </si>
  <si>
    <t>Gestão do Gabinete do Prefeito</t>
  </si>
  <si>
    <t>Iniciativas</t>
  </si>
  <si>
    <t>Manutenção e Investimentos das Atividades do Gabinete do Prefeito</t>
  </si>
  <si>
    <t>Manutenção e Investimentos das Atividades do Controle Interno</t>
  </si>
  <si>
    <t>Fonte de</t>
  </si>
  <si>
    <t>Recursos</t>
  </si>
  <si>
    <t>Programa</t>
  </si>
  <si>
    <t>PREFEITURA MUNICIPAL DE BOA VISTA DO CADEADO - RS
PLANO PLURIANUAL
ANEXO II
Programas de Gestão
2026 a 2029</t>
  </si>
  <si>
    <t>Função/</t>
  </si>
  <si>
    <t>Subfunção</t>
  </si>
  <si>
    <t>04/122</t>
  </si>
  <si>
    <t>04/124</t>
  </si>
  <si>
    <t>Gestão da Administração e Planejamento</t>
  </si>
  <si>
    <t>04/123</t>
  </si>
  <si>
    <t>Manutenção e Investimentos das Atividades da Adm. e Planej.</t>
  </si>
  <si>
    <t>Ações de Ampliação e Reforma do Centro Adm.</t>
  </si>
  <si>
    <t>1500/1755</t>
  </si>
  <si>
    <t>Ações de Divulgação dos Atos Oficiais</t>
  </si>
  <si>
    <t>Gestão da Fazenda</t>
  </si>
  <si>
    <t>Manutenção e Investimentos das Atividades da Fazenda</t>
  </si>
  <si>
    <t>1500/1501</t>
  </si>
  <si>
    <t>Gestão da Saúde</t>
  </si>
  <si>
    <t>Ações de Aquisição de Veículos para a Saúde</t>
  </si>
  <si>
    <t>Manutenção e Investimentos das Atividades da Saúde</t>
  </si>
  <si>
    <t>10/122</t>
  </si>
  <si>
    <t>Gestão do Desenvolvimento Social</t>
  </si>
  <si>
    <t>Manutenção e Investimentos das Atividades da Assist. Social</t>
  </si>
  <si>
    <t>Eventos e Festividades Diversas</t>
  </si>
  <si>
    <t>08/122</t>
  </si>
  <si>
    <t>Gestão da Educação</t>
  </si>
  <si>
    <t>Ações de Aquisição de Veículos para a Educação</t>
  </si>
  <si>
    <t>Manutenção e Investimentos das Atividades da Educação</t>
  </si>
  <si>
    <t>12/122</t>
  </si>
  <si>
    <t>1500/1550</t>
  </si>
  <si>
    <t>Gestão da Agricultura</t>
  </si>
  <si>
    <t>Manutenção e Investimentos das Atividades da Agricultura</t>
  </si>
  <si>
    <t>20/608</t>
  </si>
  <si>
    <t>20/122</t>
  </si>
  <si>
    <t>Gestão do Meio Ambiente</t>
  </si>
  <si>
    <t>Manutenção e Investimentos das Atividades do Meio Ambiente</t>
  </si>
  <si>
    <t>18/541</t>
  </si>
  <si>
    <t>Gestão da Infraestrutura, Logística e Obras</t>
  </si>
  <si>
    <t>Manutenção e Investimentos das Ativ. da Infraestrutura, Logística e Obras</t>
  </si>
  <si>
    <t>4/122</t>
  </si>
  <si>
    <t>26/782</t>
  </si>
  <si>
    <t>Reserva de Contingência</t>
  </si>
  <si>
    <t>99/999</t>
  </si>
  <si>
    <t>Operações Especiais</t>
  </si>
  <si>
    <t>Atividades de Encargos Sociais</t>
  </si>
  <si>
    <t>28/846</t>
  </si>
  <si>
    <t>01 31</t>
  </si>
  <si>
    <t>Manutenção e Investimentos das Atividades da Câmara</t>
  </si>
  <si>
    <t>Sec. de Adm., Planej. e Faz.</t>
  </si>
  <si>
    <t xml:space="preserve">                João Paulo Beltrão dos Santos,</t>
  </si>
  <si>
    <t xml:space="preserve">                           Prefeito Municipal.</t>
  </si>
  <si>
    <t xml:space="preserve">                Contadora CRC/RS 100434/O.</t>
  </si>
  <si>
    <t xml:space="preserve">                       Luana Santos Ribeiro,</t>
  </si>
  <si>
    <t xml:space="preserve">   Filipe da Silva Barasuol,</t>
  </si>
  <si>
    <t>Abaixo seguem dados do Sistema de Expectativas de Mercado, séries de estatísticas consolidadas sobre a variação do indicador econômico IPCA ( 2026 á 2029) do Senado Federal</t>
  </si>
  <si>
    <t>datado em 19/12/2024 que compõem os índices do Plano Plurianual - PPA 2026 a 2029.</t>
  </si>
  <si>
    <t>1. Quadro da variação do IPCA 2026 á 2029</t>
  </si>
  <si>
    <t xml:space="preserve">Boa Vista do Cadeado - RS, 23 de maio de 2025. </t>
  </si>
  <si>
    <t>FONTE: GovBr, Secretaria Municipal de Administração , Planejamento e Fazenda - Setor Contábil, 23.05.2025.</t>
  </si>
  <si>
    <t xml:space="preserve"> Filipe da Silva Barasuol,</t>
  </si>
  <si>
    <t xml:space="preserve">      Luana Santos Ribeiro,</t>
  </si>
  <si>
    <t xml:space="preserve">     Fabio da Silva Weischung,</t>
  </si>
  <si>
    <t>b) a previsão da receita para os exercícios de 2026 a 2029 se deu a partir da média de arrecadação dos exercícios de 2022, 2023, 2024 e 2025 multiplicados pelo IPCA do respectivo ano. Destaca-se que havendo variações</t>
  </si>
  <si>
    <t xml:space="preserve">com previsões  de percentuais e valores  mais confiáveis poderão ser adotados afim de modificar o orçamento do Município para mais ou para menos sempre obsevando a prudência e a legalidade da ação. </t>
  </si>
  <si>
    <t>Fonte: SENADO FEDERAL, 2024.</t>
  </si>
  <si>
    <t>PREFEITURA MUNICIPAL DE BOA VISTA DO CADEADO - RS
PLANO PLURIANUAL
ANEXO I
Previsão de receita por categoria econômica
2026 a 2029</t>
  </si>
  <si>
    <t>Ações de Aquisição de Veículos para a Administração</t>
  </si>
  <si>
    <t>Ações de Aquisição de Veículos e Maquinários para as Obras</t>
  </si>
  <si>
    <t>Ações de Aquisição de Veículos e Maquinários para a Agricultura</t>
  </si>
  <si>
    <t>Manutenção e Investimentos das Atividades do IGD - PBF e SUAS</t>
  </si>
  <si>
    <t>1500/1660</t>
  </si>
  <si>
    <t>08/242</t>
  </si>
  <si>
    <t>08/243</t>
  </si>
  <si>
    <t xml:space="preserve">Manutenção e Investimentos das Atividades do Conselho Tutelar </t>
  </si>
  <si>
    <t>08/244</t>
  </si>
  <si>
    <t>Manut. e Invest. das Ativ. de Assist.às Flias p/ Pessoas com Deficiência</t>
  </si>
  <si>
    <t xml:space="preserve">Boa Vista do Cadeado - RS, 27 de junho de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</si>
</sst>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R$&quot;\ #,##0;[Red]\-&quot;R$&quot;\ #,##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0"/>
    <numFmt numFmtId="165" formatCode="_-* #,##0.0000_-;\-* #,##0.0000_-;_-* &quot;-&quot;????_-;_-@_-"/>
  </numFmts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.5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 applyFont="1"/>
    <xf numFmtId="0" fontId="0" fillId="2" borderId="0" xfId="0" applyFont="1" applyFill="1"/>
    <xf numFmtId="0" fontId="0" fillId="2" borderId="0" xfId="0" applyFill="1"/>
    <xf numFmtId="0" fontId="1" fillId="2" borderId="0" xfId="0" applyFont="1" applyFill="1"/>
    <xf numFmtId="0" fontId="1" fillId="2" borderId="1" xfId="0" applyFont="1" applyFill="1" applyBorder="1" applyAlignment="1">
      <alignment horizontal="center" vertical="center"/>
    </xf>
    <xf numFmtId="4" fontId="1" fillId="2" borderId="0" xfId="0" applyNumberFormat="1" applyFont="1" applyFill="1"/>
    <xf numFmtId="2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3" fillId="2" borderId="0" xfId="0" applyFont="1" applyFill="1"/>
    <xf numFmtId="6" fontId="1" fillId="2" borderId="0" xfId="0" applyNumberFormat="1" applyFont="1" applyFill="1" applyAlignment="1">
      <alignment horizontal="left"/>
    </xf>
    <xf numFmtId="3" fontId="1" fillId="2" borderId="0" xfId="0" applyNumberFormat="1" applyFont="1" applyFill="1" applyAlignment="1">
      <alignment horizontal="left" vertical="center"/>
    </xf>
    <xf numFmtId="6" fontId="1" fillId="2" borderId="0" xfId="0" applyNumberFormat="1" applyFont="1" applyFill="1"/>
    <xf numFmtId="3" fontId="1" fillId="2" borderId="0" xfId="0" applyNumberFormat="1" applyFont="1" applyFill="1" applyAlignment="1">
      <alignment horizontal="left"/>
    </xf>
    <xf numFmtId="6" fontId="1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ont="1" applyFill="1"/>
    <xf numFmtId="0" fontId="0" fillId="0" borderId="0" xfId="0" applyFill="1"/>
    <xf numFmtId="0" fontId="5" fillId="2" borderId="0" xfId="0" applyFont="1" applyFill="1" applyBorder="1"/>
    <xf numFmtId="44" fontId="5" fillId="2" borderId="1" xfId="0" applyNumberFormat="1" applyFont="1" applyFill="1" applyBorder="1"/>
    <xf numFmtId="0" fontId="3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/>
    <xf numFmtId="0" fontId="6" fillId="2" borderId="5" xfId="0" applyFont="1" applyFill="1" applyBorder="1"/>
    <xf numFmtId="43" fontId="0" fillId="0" borderId="0" xfId="1" applyFont="1"/>
    <xf numFmtId="0" fontId="9" fillId="2" borderId="0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4" fillId="0" borderId="7" xfId="0" applyFont="1" applyBorder="1"/>
    <xf numFmtId="0" fontId="10" fillId="2" borderId="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/>
    </xf>
    <xf numFmtId="0" fontId="4" fillId="2" borderId="13" xfId="0" applyFont="1" applyFill="1" applyBorder="1"/>
    <xf numFmtId="0" fontId="4" fillId="2" borderId="7" xfId="0" applyFont="1" applyFill="1" applyBorder="1"/>
    <xf numFmtId="0" fontId="10" fillId="2" borderId="1" xfId="0" applyFont="1" applyFill="1" applyBorder="1" applyAlignment="1">
      <alignment horizontal="left"/>
    </xf>
    <xf numFmtId="0" fontId="10" fillId="2" borderId="10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left"/>
    </xf>
    <xf numFmtId="0" fontId="4" fillId="2" borderId="14" xfId="0" applyFont="1" applyFill="1" applyBorder="1"/>
    <xf numFmtId="0" fontId="4" fillId="2" borderId="8" xfId="0" applyFont="1" applyFill="1" applyBorder="1"/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43" fontId="4" fillId="0" borderId="14" xfId="1" applyFont="1" applyBorder="1"/>
    <xf numFmtId="43" fontId="4" fillId="0" borderId="8" xfId="1" applyFont="1" applyBorder="1"/>
    <xf numFmtId="43" fontId="4" fillId="0" borderId="12" xfId="1" applyFont="1" applyBorder="1"/>
    <xf numFmtId="43" fontId="4" fillId="0" borderId="1" xfId="1" applyFont="1" applyBorder="1"/>
    <xf numFmtId="0" fontId="4" fillId="2" borderId="0" xfId="0" applyFont="1" applyFill="1"/>
    <xf numFmtId="0" fontId="4" fillId="2" borderId="0" xfId="0" applyFont="1" applyFill="1" applyBorder="1" applyAlignment="1"/>
    <xf numFmtId="0" fontId="4" fillId="0" borderId="12" xfId="0" applyFont="1" applyBorder="1" applyAlignment="1">
      <alignment horizontal="left"/>
    </xf>
    <xf numFmtId="17" fontId="4" fillId="0" borderId="1" xfId="0" applyNumberFormat="1" applyFont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44" fontId="6" fillId="2" borderId="1" xfId="0" applyNumberFormat="1" applyFont="1" applyFill="1" applyBorder="1"/>
    <xf numFmtId="44" fontId="0" fillId="0" borderId="0" xfId="0" applyNumberFormat="1" applyFont="1" applyFill="1"/>
    <xf numFmtId="0" fontId="1" fillId="2" borderId="0" xfId="0" applyFont="1" applyFill="1" applyAlignment="1"/>
    <xf numFmtId="0" fontId="1" fillId="2" borderId="0" xfId="0" applyFont="1" applyFill="1" applyBorder="1" applyAlignment="1"/>
    <xf numFmtId="0" fontId="0" fillId="2" borderId="0" xfId="0" applyFill="1" applyBorder="1"/>
    <xf numFmtId="0" fontId="6" fillId="2" borderId="17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/>
    </xf>
    <xf numFmtId="0" fontId="6" fillId="2" borderId="19" xfId="0" applyFont="1" applyFill="1" applyBorder="1"/>
    <xf numFmtId="44" fontId="6" fillId="2" borderId="20" xfId="0" applyNumberFormat="1" applyFont="1" applyFill="1" applyBorder="1"/>
    <xf numFmtId="0" fontId="5" fillId="2" borderId="19" xfId="0" applyFont="1" applyFill="1" applyBorder="1"/>
    <xf numFmtId="44" fontId="5" fillId="2" borderId="20" xfId="0" applyNumberFormat="1" applyFont="1" applyFill="1" applyBorder="1"/>
    <xf numFmtId="0" fontId="6" fillId="2" borderId="21" xfId="0" applyFont="1" applyFill="1" applyBorder="1"/>
    <xf numFmtId="0" fontId="6" fillId="2" borderId="22" xfId="0" applyFont="1" applyFill="1" applyBorder="1"/>
    <xf numFmtId="0" fontId="6" fillId="2" borderId="23" xfId="0" applyFont="1" applyFill="1" applyBorder="1"/>
    <xf numFmtId="44" fontId="6" fillId="2" borderId="24" xfId="0" applyNumberFormat="1" applyFont="1" applyFill="1" applyBorder="1"/>
    <xf numFmtId="44" fontId="6" fillId="2" borderId="25" xfId="0" applyNumberFormat="1" applyFont="1" applyFill="1" applyBorder="1"/>
    <xf numFmtId="0" fontId="4" fillId="2" borderId="0" xfId="0" applyFont="1" applyFill="1" applyBorder="1" applyAlignment="1">
      <alignment horizontal="left"/>
    </xf>
    <xf numFmtId="43" fontId="4" fillId="2" borderId="0" xfId="1" applyFont="1" applyFill="1" applyBorder="1"/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43" fontId="0" fillId="0" borderId="0" xfId="0" applyNumberFormat="1"/>
    <xf numFmtId="44" fontId="4" fillId="2" borderId="14" xfId="0" applyNumberFormat="1" applyFont="1" applyFill="1" applyBorder="1"/>
    <xf numFmtId="44" fontId="4" fillId="2" borderId="8" xfId="0" applyNumberFormat="1" applyFont="1" applyFill="1" applyBorder="1"/>
    <xf numFmtId="44" fontId="4" fillId="0" borderId="14" xfId="1" applyNumberFormat="1" applyFont="1" applyBorder="1"/>
    <xf numFmtId="44" fontId="4" fillId="0" borderId="8" xfId="1" applyNumberFormat="1" applyFont="1" applyBorder="1"/>
    <xf numFmtId="44" fontId="4" fillId="0" borderId="12" xfId="1" applyNumberFormat="1" applyFont="1" applyBorder="1"/>
    <xf numFmtId="44" fontId="4" fillId="0" borderId="1" xfId="1" applyNumberFormat="1" applyFont="1" applyBorder="1"/>
    <xf numFmtId="44" fontId="0" fillId="0" borderId="0" xfId="0" applyNumberFormat="1"/>
    <xf numFmtId="0" fontId="0" fillId="0" borderId="0" xfId="0" applyBorder="1"/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0" fillId="0" borderId="1" xfId="0" applyBorder="1"/>
    <xf numFmtId="0" fontId="4" fillId="0" borderId="1" xfId="0" applyFont="1" applyBorder="1"/>
    <xf numFmtId="0" fontId="4" fillId="0" borderId="0" xfId="0" applyFont="1"/>
    <xf numFmtId="16" fontId="4" fillId="0" borderId="1" xfId="0" applyNumberFormat="1" applyFont="1" applyBorder="1" applyAlignment="1">
      <alignment horizontal="left"/>
    </xf>
    <xf numFmtId="0" fontId="4" fillId="0" borderId="8" xfId="0" applyFont="1" applyBorder="1"/>
    <xf numFmtId="0" fontId="4" fillId="0" borderId="11" xfId="0" applyFont="1" applyBorder="1"/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43" fontId="4" fillId="2" borderId="8" xfId="0" applyNumberFormat="1" applyFont="1" applyFill="1" applyBorder="1"/>
    <xf numFmtId="165" fontId="4" fillId="2" borderId="8" xfId="0" applyNumberFormat="1" applyFont="1" applyFill="1" applyBorder="1"/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0" fillId="2" borderId="2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opLeftCell="A37" zoomScale="120" zoomScaleNormal="120" workbookViewId="0">
      <selection sqref="A1:J57"/>
    </sheetView>
  </sheetViews>
  <sheetFormatPr defaultRowHeight="15" x14ac:dyDescent="0.25"/>
  <cols>
    <col min="1" max="1" width="10.28515625" customWidth="1"/>
    <col min="2" max="2" width="23.28515625" customWidth="1"/>
    <col min="3" max="3" width="13.5703125" customWidth="1"/>
    <col min="4" max="5" width="13.42578125" customWidth="1"/>
    <col min="6" max="6" width="13.5703125" customWidth="1"/>
    <col min="7" max="7" width="13.7109375" customWidth="1"/>
    <col min="8" max="8" width="13.42578125" customWidth="1"/>
    <col min="9" max="9" width="13.7109375" customWidth="1"/>
    <col min="10" max="10" width="13" customWidth="1"/>
    <col min="11" max="11" width="17.7109375" bestFit="1" customWidth="1"/>
  </cols>
  <sheetData>
    <row r="1" spans="1:12" ht="79.5" customHeight="1" x14ac:dyDescent="0.25">
      <c r="A1" s="108" t="s">
        <v>122</v>
      </c>
      <c r="B1" s="108"/>
      <c r="C1" s="108"/>
      <c r="D1" s="108"/>
      <c r="E1" s="108"/>
      <c r="F1" s="108"/>
      <c r="G1" s="108"/>
      <c r="H1" s="108"/>
      <c r="I1" s="108"/>
      <c r="J1" s="108"/>
      <c r="K1" s="17"/>
      <c r="L1" s="1"/>
    </row>
    <row r="2" spans="1:12" ht="15.75" thickBot="1" x14ac:dyDescent="0.3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7"/>
      <c r="L2" s="1"/>
    </row>
    <row r="3" spans="1:12" ht="30.75" customHeight="1" x14ac:dyDescent="0.25">
      <c r="A3" s="119"/>
      <c r="B3" s="117" t="s">
        <v>0</v>
      </c>
      <c r="C3" s="115" t="s">
        <v>36</v>
      </c>
      <c r="D3" s="115"/>
      <c r="E3" s="115"/>
      <c r="F3" s="68" t="s">
        <v>35</v>
      </c>
      <c r="G3" s="115" t="s">
        <v>34</v>
      </c>
      <c r="H3" s="115"/>
      <c r="I3" s="115"/>
      <c r="J3" s="116"/>
      <c r="K3" s="17"/>
      <c r="L3" s="1"/>
    </row>
    <row r="4" spans="1:12" x14ac:dyDescent="0.25">
      <c r="A4" s="120"/>
      <c r="B4" s="118"/>
      <c r="C4" s="62">
        <v>2022</v>
      </c>
      <c r="D4" s="62">
        <v>2023</v>
      </c>
      <c r="E4" s="62">
        <v>2024</v>
      </c>
      <c r="F4" s="62">
        <v>2025</v>
      </c>
      <c r="G4" s="62">
        <v>2026</v>
      </c>
      <c r="H4" s="62">
        <v>2027</v>
      </c>
      <c r="I4" s="62">
        <v>2028</v>
      </c>
      <c r="J4" s="69">
        <v>2029</v>
      </c>
      <c r="K4" s="17"/>
      <c r="L4" s="1"/>
    </row>
    <row r="5" spans="1:12" x14ac:dyDescent="0.25">
      <c r="A5" s="70" t="s">
        <v>1</v>
      </c>
      <c r="B5" s="22" t="s">
        <v>2</v>
      </c>
      <c r="C5" s="63">
        <f t="shared" ref="C5:D5" si="0">C6+C8+C11+C12+C13</f>
        <v>32164014.709999997</v>
      </c>
      <c r="D5" s="63">
        <f t="shared" si="0"/>
        <v>35438146.740000002</v>
      </c>
      <c r="E5" s="63">
        <f>E6+E8+E11+E12+E13</f>
        <v>37315836.220000006</v>
      </c>
      <c r="F5" s="63">
        <f>F6+F8+F11+F12+F13</f>
        <v>24884033.260000002</v>
      </c>
      <c r="G5" s="63">
        <f>G6+G7+G8+G9+G10+G11+G12+G13</f>
        <v>32450507.27</v>
      </c>
      <c r="H5" s="63">
        <f t="shared" ref="H5" si="1">H6+H7+H8+H9+H10+H11+H12+H13</f>
        <v>33521374.344959997</v>
      </c>
      <c r="I5" s="63">
        <f t="shared" ref="I5" si="2">I6+I7+I8+I9+I10+I11+I12+I13</f>
        <v>34527015.653108798</v>
      </c>
      <c r="J5" s="71">
        <f t="shared" ref="J5" si="3">J6+J7+J8+J9+J10+J11+J12+J13</f>
        <v>35562826.409502059</v>
      </c>
      <c r="K5" s="64"/>
      <c r="L5" s="1"/>
    </row>
    <row r="6" spans="1:12" x14ac:dyDescent="0.25">
      <c r="A6" s="72" t="s">
        <v>3</v>
      </c>
      <c r="B6" s="19" t="s">
        <v>47</v>
      </c>
      <c r="C6" s="20">
        <v>1451183.73</v>
      </c>
      <c r="D6" s="20">
        <v>2121629.27</v>
      </c>
      <c r="E6" s="20">
        <f>2493239.89</f>
        <v>2493239.89</v>
      </c>
      <c r="F6" s="20">
        <f>1609729.55-18779.99</f>
        <v>1590949.56</v>
      </c>
      <c r="G6" s="20">
        <v>1914250.15</v>
      </c>
      <c r="H6" s="20">
        <v>1977420.74</v>
      </c>
      <c r="I6" s="20">
        <v>2036743.44</v>
      </c>
      <c r="J6" s="73">
        <v>2097846.0299999998</v>
      </c>
      <c r="K6" s="17"/>
      <c r="L6" s="1"/>
    </row>
    <row r="7" spans="1:12" x14ac:dyDescent="0.25">
      <c r="A7" s="72" t="s">
        <v>4</v>
      </c>
      <c r="B7" s="19" t="s">
        <v>5</v>
      </c>
      <c r="C7" s="20">
        <v>0</v>
      </c>
      <c r="D7" s="20">
        <v>0</v>
      </c>
      <c r="E7" s="20">
        <v>0</v>
      </c>
      <c r="F7" s="20">
        <v>0</v>
      </c>
      <c r="G7" s="20">
        <f t="shared" ref="G7:G13" si="4">(C7+D7+E7+F7)/4</f>
        <v>0</v>
      </c>
      <c r="H7" s="20">
        <f>G7*C37</f>
        <v>0</v>
      </c>
      <c r="I7" s="20">
        <f>H7*C37</f>
        <v>0</v>
      </c>
      <c r="J7" s="73">
        <f>I7*C38</f>
        <v>0</v>
      </c>
      <c r="K7" s="64"/>
      <c r="L7" s="1"/>
    </row>
    <row r="8" spans="1:12" x14ac:dyDescent="0.25">
      <c r="A8" s="72" t="s">
        <v>6</v>
      </c>
      <c r="B8" s="19" t="s">
        <v>7</v>
      </c>
      <c r="C8" s="20">
        <v>1736296.27</v>
      </c>
      <c r="D8" s="20">
        <v>1508569.49</v>
      </c>
      <c r="E8" s="20">
        <v>1041767.21</v>
      </c>
      <c r="F8" s="20">
        <v>199350.57</v>
      </c>
      <c r="G8" s="20">
        <f t="shared" si="4"/>
        <v>1121495.885</v>
      </c>
      <c r="H8" s="20">
        <f>G8*C36</f>
        <v>1158505.249205</v>
      </c>
      <c r="I8" s="20">
        <f>H8*C37</f>
        <v>1193260.40668115</v>
      </c>
      <c r="J8" s="73">
        <f>I8*C38</f>
        <v>1229058.2188815845</v>
      </c>
      <c r="K8" s="64"/>
      <c r="L8" s="1"/>
    </row>
    <row r="9" spans="1:12" x14ac:dyDescent="0.25">
      <c r="A9" s="72" t="s">
        <v>8</v>
      </c>
      <c r="B9" s="19" t="s">
        <v>32</v>
      </c>
      <c r="C9" s="20">
        <v>0</v>
      </c>
      <c r="D9" s="20">
        <v>0</v>
      </c>
      <c r="E9" s="20">
        <v>0</v>
      </c>
      <c r="F9" s="20">
        <v>0</v>
      </c>
      <c r="G9" s="20">
        <f t="shared" si="4"/>
        <v>0</v>
      </c>
      <c r="H9" s="20">
        <f>G9*C36</f>
        <v>0</v>
      </c>
      <c r="I9" s="20">
        <f>H9*C37</f>
        <v>0</v>
      </c>
      <c r="J9" s="73">
        <f>I9*C38</f>
        <v>0</v>
      </c>
      <c r="K9" s="64"/>
      <c r="L9" s="1"/>
    </row>
    <row r="10" spans="1:12" x14ac:dyDescent="0.25">
      <c r="A10" s="72" t="s">
        <v>9</v>
      </c>
      <c r="B10" s="19" t="s">
        <v>33</v>
      </c>
      <c r="C10" s="20">
        <v>0</v>
      </c>
      <c r="D10" s="20">
        <v>0</v>
      </c>
      <c r="E10" s="20">
        <v>0</v>
      </c>
      <c r="F10" s="20">
        <v>0</v>
      </c>
      <c r="G10" s="20">
        <f t="shared" si="4"/>
        <v>0</v>
      </c>
      <c r="H10" s="20">
        <f>G10*C36</f>
        <v>0</v>
      </c>
      <c r="I10" s="20">
        <f>H10*C37</f>
        <v>0</v>
      </c>
      <c r="J10" s="73">
        <f>I10*C38</f>
        <v>0</v>
      </c>
      <c r="K10" s="64"/>
      <c r="L10" s="1"/>
    </row>
    <row r="11" spans="1:12" x14ac:dyDescent="0.25">
      <c r="A11" s="72" t="s">
        <v>10</v>
      </c>
      <c r="B11" s="19" t="s">
        <v>11</v>
      </c>
      <c r="C11" s="20">
        <v>317542.71999999997</v>
      </c>
      <c r="D11" s="20">
        <v>291690.02</v>
      </c>
      <c r="E11" s="20">
        <v>363662.5</v>
      </c>
      <c r="F11" s="20">
        <v>274609.64</v>
      </c>
      <c r="G11" s="20">
        <f t="shared" si="4"/>
        <v>311876.21999999997</v>
      </c>
      <c r="H11" s="20">
        <f>G11*C36</f>
        <v>322168.13525999995</v>
      </c>
      <c r="I11" s="20">
        <f>H11*C37</f>
        <v>331833.17931779998</v>
      </c>
      <c r="J11" s="73">
        <f>I11*C38</f>
        <v>341788.17469733401</v>
      </c>
      <c r="K11" s="17"/>
      <c r="L11" s="1"/>
    </row>
    <row r="12" spans="1:12" x14ac:dyDescent="0.25">
      <c r="A12" s="72" t="s">
        <v>12</v>
      </c>
      <c r="B12" s="19" t="s">
        <v>13</v>
      </c>
      <c r="C12" s="20">
        <v>28645343.27</v>
      </c>
      <c r="D12" s="20">
        <v>31508172.140000001</v>
      </c>
      <c r="E12" s="20">
        <f>40024417.34-6634032.76</f>
        <v>33390384.580000006</v>
      </c>
      <c r="F12" s="20">
        <f>27132408.21-4327644.33</f>
        <v>22804763.880000003</v>
      </c>
      <c r="G12" s="20">
        <f t="shared" si="4"/>
        <v>29087165.967500001</v>
      </c>
      <c r="H12" s="20">
        <f>G12*C36</f>
        <v>30047042.444427498</v>
      </c>
      <c r="I12" s="20">
        <f>H12*C37</f>
        <v>30948453.717760324</v>
      </c>
      <c r="J12" s="73">
        <f>I12*C38</f>
        <v>31876907.329293136</v>
      </c>
      <c r="K12" s="17"/>
      <c r="L12" s="1"/>
    </row>
    <row r="13" spans="1:12" x14ac:dyDescent="0.25">
      <c r="A13" s="72" t="s">
        <v>14</v>
      </c>
      <c r="B13" s="19" t="s">
        <v>15</v>
      </c>
      <c r="C13" s="20">
        <v>13648.72</v>
      </c>
      <c r="D13" s="20">
        <v>8085.82</v>
      </c>
      <c r="E13" s="20">
        <v>26782.04</v>
      </c>
      <c r="F13" s="20">
        <v>14359.61</v>
      </c>
      <c r="G13" s="20">
        <f t="shared" si="4"/>
        <v>15719.047500000001</v>
      </c>
      <c r="H13" s="20">
        <f>G13*C36</f>
        <v>16237.776067499999</v>
      </c>
      <c r="I13" s="20">
        <f>H13*C37</f>
        <v>16724.909349524998</v>
      </c>
      <c r="J13" s="73">
        <f>I13*C38</f>
        <v>17226.656630010748</v>
      </c>
      <c r="K13" s="17"/>
      <c r="L13" s="1"/>
    </row>
    <row r="14" spans="1:12" x14ac:dyDescent="0.25">
      <c r="A14" s="70" t="s">
        <v>16</v>
      </c>
      <c r="B14" s="22" t="s">
        <v>17</v>
      </c>
      <c r="C14" s="63">
        <f>C15+C16+C17+C18+C19</f>
        <v>501156.95</v>
      </c>
      <c r="D14" s="63">
        <f>D15+D16+D17+D18+D19</f>
        <v>1871863.68</v>
      </c>
      <c r="E14" s="63">
        <f>E15+E16+E17+E18+E19</f>
        <v>1115791.53</v>
      </c>
      <c r="F14" s="63">
        <f t="shared" ref="F14" si="5">F15+F16+F17+F18+F19</f>
        <v>445966.74</v>
      </c>
      <c r="G14" s="63">
        <f>G15+G16+G17+G18+G19</f>
        <v>983694.72499999998</v>
      </c>
      <c r="H14" s="63">
        <f>H15+H16+H17+H18+H19</f>
        <v>1016156.6509250001</v>
      </c>
      <c r="I14" s="63">
        <f t="shared" ref="I14:J14" si="6">I15+I16+I17+I18+I19</f>
        <v>1046641.3504527501</v>
      </c>
      <c r="J14" s="71">
        <f t="shared" si="6"/>
        <v>1078040.5909663327</v>
      </c>
      <c r="K14" s="17"/>
      <c r="L14" s="1"/>
    </row>
    <row r="15" spans="1:12" x14ac:dyDescent="0.25">
      <c r="A15" s="72" t="s">
        <v>18</v>
      </c>
      <c r="B15" s="19" t="s">
        <v>19</v>
      </c>
      <c r="C15" s="20">
        <v>0</v>
      </c>
      <c r="D15" s="20">
        <v>0</v>
      </c>
      <c r="E15" s="20">
        <v>0</v>
      </c>
      <c r="F15" s="20">
        <v>0</v>
      </c>
      <c r="G15" s="20">
        <f>(C15+D15+E15)/3</f>
        <v>0</v>
      </c>
      <c r="H15" s="20">
        <f>G15*C36</f>
        <v>0</v>
      </c>
      <c r="I15" s="20">
        <f>H15*C37</f>
        <v>0</v>
      </c>
      <c r="J15" s="73">
        <f>I15*C38</f>
        <v>0</v>
      </c>
      <c r="K15" s="17"/>
      <c r="L15" s="1"/>
    </row>
    <row r="16" spans="1:12" x14ac:dyDescent="0.25">
      <c r="A16" s="72" t="s">
        <v>20</v>
      </c>
      <c r="B16" s="19" t="s">
        <v>21</v>
      </c>
      <c r="C16" s="20">
        <v>0</v>
      </c>
      <c r="D16" s="20">
        <v>340200</v>
      </c>
      <c r="E16" s="20">
        <v>0</v>
      </c>
      <c r="F16" s="20">
        <v>156106.26999999999</v>
      </c>
      <c r="G16" s="20">
        <f>(C16+D16+E16+F16)/4</f>
        <v>124076.5675</v>
      </c>
      <c r="H16" s="20">
        <f>G16*C36</f>
        <v>128171.0942275</v>
      </c>
      <c r="I16" s="20">
        <f>H16*C37</f>
        <v>132016.22705432499</v>
      </c>
      <c r="J16" s="73">
        <f>I16*C38</f>
        <v>135976.71386595475</v>
      </c>
      <c r="K16" s="17"/>
      <c r="L16" s="1"/>
    </row>
    <row r="17" spans="1:12" x14ac:dyDescent="0.25">
      <c r="A17" s="72" t="s">
        <v>22</v>
      </c>
      <c r="B17" s="19" t="s">
        <v>23</v>
      </c>
      <c r="C17" s="20">
        <v>41071.550000000003</v>
      </c>
      <c r="D17" s="20">
        <v>21210.54</v>
      </c>
      <c r="E17" s="20">
        <v>1731.05</v>
      </c>
      <c r="F17" s="20">
        <v>70434.22</v>
      </c>
      <c r="G17" s="20">
        <f t="shared" ref="G17:G21" si="7">(C17+D17+E17+F17)/4</f>
        <v>33611.840000000004</v>
      </c>
      <c r="H17" s="20">
        <f>G17*C36</f>
        <v>34721.030720000002</v>
      </c>
      <c r="I17" s="20">
        <f>H17*C37</f>
        <v>35762.661641600003</v>
      </c>
      <c r="J17" s="73">
        <f>I17*C38</f>
        <v>36835.541490848002</v>
      </c>
      <c r="K17" s="17"/>
      <c r="L17" s="1"/>
    </row>
    <row r="18" spans="1:12" x14ac:dyDescent="0.25">
      <c r="A18" s="72" t="s">
        <v>24</v>
      </c>
      <c r="B18" s="19" t="s">
        <v>25</v>
      </c>
      <c r="C18" s="20">
        <v>453289.19</v>
      </c>
      <c r="D18" s="20">
        <v>1449863</v>
      </c>
      <c r="E18" s="20">
        <v>1109143</v>
      </c>
      <c r="F18" s="20">
        <v>218084.45</v>
      </c>
      <c r="G18" s="20">
        <f t="shared" si="7"/>
        <v>807594.91</v>
      </c>
      <c r="H18" s="20">
        <f>G18*C36</f>
        <v>834245.54203000001</v>
      </c>
      <c r="I18" s="20">
        <f>H18*C37</f>
        <v>859272.90829090006</v>
      </c>
      <c r="J18" s="73">
        <f>I18*C38</f>
        <v>885051.09553962713</v>
      </c>
      <c r="K18" s="17"/>
      <c r="L18" s="1"/>
    </row>
    <row r="19" spans="1:12" x14ac:dyDescent="0.25">
      <c r="A19" s="72" t="s">
        <v>26</v>
      </c>
      <c r="B19" s="19" t="s">
        <v>27</v>
      </c>
      <c r="C19" s="20">
        <v>6796.21</v>
      </c>
      <c r="D19" s="20">
        <v>60590.14</v>
      </c>
      <c r="E19" s="20">
        <v>4917.4799999999996</v>
      </c>
      <c r="F19" s="20">
        <v>1341.8</v>
      </c>
      <c r="G19" s="20">
        <f t="shared" si="7"/>
        <v>18411.407500000001</v>
      </c>
      <c r="H19" s="20">
        <f>G19*C36</f>
        <v>19018.983947500001</v>
      </c>
      <c r="I19" s="20">
        <f>H19*C37</f>
        <v>19589.553465925001</v>
      </c>
      <c r="J19" s="73">
        <f>I19*C38</f>
        <v>20177.240069902749</v>
      </c>
      <c r="K19" s="17"/>
      <c r="L19" s="1"/>
    </row>
    <row r="20" spans="1:12" x14ac:dyDescent="0.25">
      <c r="A20" s="70" t="s">
        <v>28</v>
      </c>
      <c r="B20" s="22" t="s">
        <v>29</v>
      </c>
      <c r="C20" s="20">
        <v>0</v>
      </c>
      <c r="D20" s="20">
        <v>0</v>
      </c>
      <c r="E20" s="20">
        <v>0</v>
      </c>
      <c r="F20" s="20"/>
      <c r="G20" s="20">
        <f t="shared" si="7"/>
        <v>0</v>
      </c>
      <c r="H20" s="20">
        <f>G20*C36</f>
        <v>0</v>
      </c>
      <c r="I20" s="20">
        <f>H20*C37</f>
        <v>0</v>
      </c>
      <c r="J20" s="73">
        <f>I20*C38</f>
        <v>0</v>
      </c>
      <c r="K20" s="17"/>
      <c r="L20" s="1"/>
    </row>
    <row r="21" spans="1:12" x14ac:dyDescent="0.25">
      <c r="A21" s="74" t="s">
        <v>30</v>
      </c>
      <c r="B21" s="23" t="s">
        <v>31</v>
      </c>
      <c r="C21" s="20">
        <v>0</v>
      </c>
      <c r="D21" s="20">
        <v>0</v>
      </c>
      <c r="E21" s="20">
        <v>0</v>
      </c>
      <c r="F21" s="20"/>
      <c r="G21" s="20">
        <f t="shared" si="7"/>
        <v>0</v>
      </c>
      <c r="H21" s="20">
        <f>G21*C36</f>
        <v>0</v>
      </c>
      <c r="I21" s="20">
        <f>H21*C37</f>
        <v>0</v>
      </c>
      <c r="J21" s="73">
        <f>I21*C38</f>
        <v>0</v>
      </c>
      <c r="K21" s="17"/>
      <c r="L21" s="1"/>
    </row>
    <row r="22" spans="1:12" ht="15.75" thickBot="1" x14ac:dyDescent="0.3">
      <c r="A22" s="75"/>
      <c r="B22" s="76"/>
      <c r="C22" s="77">
        <f t="shared" ref="C22:D22" si="8">C14+C5</f>
        <v>32665171.659999996</v>
      </c>
      <c r="D22" s="77">
        <f t="shared" si="8"/>
        <v>37310010.420000002</v>
      </c>
      <c r="E22" s="77">
        <f>E14+E5</f>
        <v>38431627.750000007</v>
      </c>
      <c r="F22" s="77">
        <f t="shared" ref="F22:J22" si="9">F14+F5</f>
        <v>25330000</v>
      </c>
      <c r="G22" s="77">
        <f t="shared" si="9"/>
        <v>33434201.995000001</v>
      </c>
      <c r="H22" s="77">
        <f t="shared" si="9"/>
        <v>34537530.995885</v>
      </c>
      <c r="I22" s="77">
        <f t="shared" si="9"/>
        <v>35573657.003561549</v>
      </c>
      <c r="J22" s="78">
        <f t="shared" si="9"/>
        <v>36640867.000468388</v>
      </c>
      <c r="K22" s="17"/>
      <c r="L22" s="1"/>
    </row>
    <row r="23" spans="1:12" x14ac:dyDescent="0.25">
      <c r="A23" s="111" t="s">
        <v>115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7"/>
      <c r="L23" s="1"/>
    </row>
    <row r="24" spans="1:12" x14ac:dyDescent="0.25">
      <c r="A24" s="3"/>
      <c r="B24" s="3"/>
      <c r="C24" s="3"/>
      <c r="D24" s="3"/>
      <c r="E24" s="3"/>
      <c r="F24" s="3"/>
      <c r="G24" s="3"/>
      <c r="H24" s="3"/>
      <c r="I24" s="3"/>
      <c r="J24" s="4"/>
      <c r="K24" s="17"/>
      <c r="L24" s="1"/>
    </row>
    <row r="25" spans="1:12" x14ac:dyDescent="0.25">
      <c r="A25" s="3"/>
      <c r="B25" s="65"/>
      <c r="C25" s="65"/>
      <c r="D25" s="65"/>
      <c r="E25" s="65"/>
      <c r="F25" s="65"/>
      <c r="G25" s="65"/>
      <c r="H25" s="65"/>
      <c r="I25" s="65"/>
      <c r="J25" s="65"/>
      <c r="K25" s="17"/>
      <c r="L25" s="1"/>
    </row>
    <row r="26" spans="1:12" x14ac:dyDescent="0.25">
      <c r="A26" s="3"/>
      <c r="B26" s="65"/>
      <c r="C26" s="65"/>
      <c r="D26" s="65"/>
      <c r="E26" s="65"/>
      <c r="F26" s="65"/>
      <c r="G26" s="65"/>
      <c r="H26" s="65"/>
      <c r="I26" s="65"/>
      <c r="J26" s="65"/>
      <c r="K26" s="17"/>
      <c r="L26" s="1"/>
    </row>
    <row r="27" spans="1:12" x14ac:dyDescent="0.25">
      <c r="A27" s="3"/>
      <c r="B27" s="66"/>
      <c r="C27" s="66"/>
      <c r="D27" s="4"/>
      <c r="E27" s="4"/>
      <c r="F27" s="4"/>
      <c r="G27" s="4"/>
      <c r="H27" s="4"/>
      <c r="I27" s="4"/>
      <c r="J27" s="4"/>
      <c r="K27" s="17"/>
      <c r="L27" s="1"/>
    </row>
    <row r="28" spans="1:12" x14ac:dyDescent="0.25">
      <c r="A28" s="3"/>
      <c r="B28" s="67"/>
      <c r="C28" s="67"/>
      <c r="D28" s="4"/>
      <c r="E28" s="6"/>
      <c r="F28" s="4"/>
      <c r="G28" s="4"/>
      <c r="H28" s="4"/>
      <c r="I28" s="4"/>
      <c r="J28" s="4"/>
      <c r="K28" s="17"/>
      <c r="L28" s="1"/>
    </row>
    <row r="29" spans="1:12" x14ac:dyDescent="0.25">
      <c r="A29" s="65" t="s">
        <v>111</v>
      </c>
      <c r="B29" s="3"/>
      <c r="C29" s="3"/>
      <c r="D29" s="4"/>
      <c r="E29" s="4"/>
      <c r="F29" s="4"/>
      <c r="G29" s="4"/>
      <c r="H29" s="4"/>
      <c r="I29" s="4"/>
      <c r="J29" s="4"/>
      <c r="K29" s="17"/>
      <c r="L29" s="1"/>
    </row>
    <row r="30" spans="1:12" x14ac:dyDescent="0.25">
      <c r="A30" s="65" t="s">
        <v>112</v>
      </c>
      <c r="B30" s="3"/>
      <c r="C30" s="3"/>
      <c r="D30" s="4"/>
      <c r="E30" s="4"/>
      <c r="F30" s="4"/>
      <c r="G30" s="4"/>
      <c r="H30" s="4"/>
      <c r="I30" s="4"/>
      <c r="J30" s="4"/>
      <c r="K30" s="17"/>
      <c r="L30" s="1"/>
    </row>
    <row r="31" spans="1:12" x14ac:dyDescent="0.25">
      <c r="A31" s="3"/>
      <c r="B31" s="3"/>
      <c r="C31" s="3"/>
      <c r="D31" s="4"/>
      <c r="E31" s="4"/>
      <c r="F31" s="4"/>
      <c r="G31" s="4"/>
      <c r="H31" s="4"/>
      <c r="I31" s="4"/>
      <c r="J31" s="4"/>
      <c r="K31" s="17"/>
      <c r="L31" s="1"/>
    </row>
    <row r="32" spans="1:12" x14ac:dyDescent="0.25">
      <c r="A32" s="114" t="s">
        <v>113</v>
      </c>
      <c r="B32" s="114"/>
      <c r="C32" s="114"/>
      <c r="D32" s="4"/>
      <c r="E32" s="4"/>
      <c r="F32" s="4"/>
      <c r="G32" s="4"/>
      <c r="H32" s="4"/>
      <c r="I32" s="4"/>
      <c r="J32" s="4"/>
      <c r="K32" s="17"/>
      <c r="L32" s="1"/>
    </row>
    <row r="33" spans="1:12" x14ac:dyDescent="0.25">
      <c r="A33" s="60" t="s">
        <v>48</v>
      </c>
      <c r="B33" s="112" t="s">
        <v>37</v>
      </c>
      <c r="C33" s="112" t="s">
        <v>38</v>
      </c>
      <c r="D33" s="4"/>
      <c r="E33" s="4"/>
      <c r="F33" s="4"/>
      <c r="G33" s="4"/>
      <c r="H33" s="4"/>
      <c r="I33" s="4"/>
      <c r="J33" s="4"/>
      <c r="K33" s="17"/>
      <c r="L33" s="1"/>
    </row>
    <row r="34" spans="1:12" x14ac:dyDescent="0.25">
      <c r="A34" s="61" t="s">
        <v>49</v>
      </c>
      <c r="B34" s="113"/>
      <c r="C34" s="113"/>
      <c r="D34" s="4"/>
      <c r="E34" s="4"/>
      <c r="F34" s="4"/>
      <c r="G34" s="4"/>
      <c r="H34" s="4"/>
      <c r="I34" s="4"/>
      <c r="J34" s="4"/>
      <c r="K34" s="17"/>
      <c r="L34" s="1"/>
    </row>
    <row r="35" spans="1:12" x14ac:dyDescent="0.25">
      <c r="A35" s="5">
        <v>2026</v>
      </c>
      <c r="B35" s="5">
        <v>3.64</v>
      </c>
      <c r="C35" s="5">
        <f>3.64/100+1</f>
        <v>1.0364</v>
      </c>
      <c r="D35" s="4"/>
      <c r="E35" s="4"/>
      <c r="F35" s="4"/>
      <c r="G35" s="4"/>
      <c r="H35" s="4"/>
      <c r="I35" s="4"/>
      <c r="J35" s="4"/>
      <c r="K35" s="17"/>
      <c r="L35" s="1"/>
    </row>
    <row r="36" spans="1:12" x14ac:dyDescent="0.25">
      <c r="A36" s="5">
        <v>2027</v>
      </c>
      <c r="B36" s="5">
        <v>3.3</v>
      </c>
      <c r="C36" s="5">
        <f>3.3/100+1</f>
        <v>1.0329999999999999</v>
      </c>
      <c r="D36" s="4"/>
      <c r="E36" s="4"/>
      <c r="F36" s="4"/>
      <c r="G36" s="4"/>
      <c r="H36" s="4"/>
      <c r="I36" s="4"/>
      <c r="J36" s="4"/>
      <c r="K36" s="17"/>
      <c r="L36" s="1"/>
    </row>
    <row r="37" spans="1:12" x14ac:dyDescent="0.25">
      <c r="A37" s="5">
        <v>2028</v>
      </c>
      <c r="B37" s="7">
        <v>3</v>
      </c>
      <c r="C37" s="8">
        <f>3/100+1</f>
        <v>1.03</v>
      </c>
      <c r="D37" s="3"/>
      <c r="E37" s="3"/>
      <c r="F37" s="3"/>
      <c r="G37" s="3"/>
      <c r="H37" s="3"/>
      <c r="I37" s="3"/>
      <c r="J37" s="3"/>
      <c r="K37" s="18"/>
      <c r="L37" s="1"/>
    </row>
    <row r="38" spans="1:12" x14ac:dyDescent="0.25">
      <c r="A38" s="5">
        <v>2029</v>
      </c>
      <c r="B38" s="7">
        <v>3</v>
      </c>
      <c r="C38" s="8">
        <f>3/100+1</f>
        <v>1.03</v>
      </c>
      <c r="D38" s="10"/>
      <c r="E38" s="10"/>
      <c r="F38" s="10"/>
      <c r="G38" s="10"/>
      <c r="H38" s="10"/>
      <c r="I38" s="10"/>
      <c r="J38" s="10"/>
      <c r="K38" s="17"/>
      <c r="L38" s="1"/>
    </row>
    <row r="39" spans="1:12" x14ac:dyDescent="0.25">
      <c r="A39" s="4" t="s">
        <v>121</v>
      </c>
      <c r="B39" s="10"/>
      <c r="C39" s="10"/>
      <c r="D39" s="10"/>
      <c r="E39" s="10"/>
      <c r="F39" s="10"/>
      <c r="G39" s="10"/>
      <c r="H39" s="10"/>
      <c r="I39" s="10"/>
      <c r="J39" s="10"/>
      <c r="K39" s="17"/>
      <c r="L39" s="1"/>
    </row>
    <row r="40" spans="1:12" x14ac:dyDescent="0.25">
      <c r="A40" s="3"/>
      <c r="B40" s="10"/>
      <c r="C40" s="10"/>
      <c r="D40" s="10"/>
      <c r="E40" s="10"/>
      <c r="F40" s="10"/>
      <c r="G40" s="10"/>
      <c r="H40" s="10"/>
      <c r="I40" s="10"/>
      <c r="J40" s="10"/>
      <c r="K40" s="17"/>
      <c r="L40" s="1"/>
    </row>
    <row r="41" spans="1:12" x14ac:dyDescent="0.25">
      <c r="A41" s="9" t="s">
        <v>39</v>
      </c>
      <c r="B41" s="10"/>
      <c r="C41" s="10"/>
      <c r="D41" s="10"/>
      <c r="E41" s="10"/>
      <c r="F41" s="10"/>
      <c r="G41" s="10"/>
      <c r="H41" s="10"/>
      <c r="I41" s="10"/>
      <c r="J41" s="10"/>
      <c r="K41" s="17"/>
      <c r="L41" s="1"/>
    </row>
    <row r="42" spans="1:12" x14ac:dyDescent="0.25">
      <c r="A42" s="3"/>
      <c r="B42" s="10"/>
      <c r="C42" s="10"/>
      <c r="D42" s="10"/>
      <c r="E42" s="10"/>
      <c r="F42" s="10"/>
      <c r="G42" s="10"/>
      <c r="H42" s="10"/>
      <c r="I42" s="10"/>
      <c r="J42" s="10"/>
      <c r="K42" s="17"/>
      <c r="L42" s="1"/>
    </row>
    <row r="43" spans="1:12" x14ac:dyDescent="0.25">
      <c r="A43" s="10" t="s">
        <v>45</v>
      </c>
      <c r="B43" s="3"/>
      <c r="C43" s="3"/>
      <c r="D43" s="3"/>
      <c r="E43" s="3"/>
      <c r="F43" s="3"/>
      <c r="G43" s="3"/>
      <c r="H43" s="3"/>
      <c r="I43" s="3"/>
      <c r="J43" s="3"/>
      <c r="K43" s="18"/>
      <c r="L43" s="1"/>
    </row>
    <row r="44" spans="1:12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7"/>
      <c r="L44" s="1"/>
    </row>
    <row r="45" spans="1:12" x14ac:dyDescent="0.25">
      <c r="A45" s="10" t="s">
        <v>119</v>
      </c>
      <c r="B45" s="10"/>
      <c r="C45" s="10"/>
      <c r="D45" s="10"/>
      <c r="E45" s="10"/>
      <c r="F45" s="10"/>
      <c r="G45" s="10"/>
      <c r="H45" s="10"/>
      <c r="I45" s="10"/>
      <c r="J45" s="10"/>
      <c r="K45" s="17"/>
      <c r="L45" s="1"/>
    </row>
    <row r="46" spans="1:12" x14ac:dyDescent="0.25">
      <c r="A46" s="10" t="s">
        <v>120</v>
      </c>
      <c r="B46" s="10"/>
      <c r="C46" s="10"/>
      <c r="D46" s="10"/>
      <c r="E46" s="10"/>
      <c r="F46" s="10"/>
      <c r="G46" s="10"/>
      <c r="H46" s="10"/>
      <c r="I46" s="10"/>
      <c r="J46" s="10"/>
      <c r="K46" s="17"/>
      <c r="L46" s="1"/>
    </row>
    <row r="47" spans="1:12" ht="15" customHeight="1" x14ac:dyDescent="0.25">
      <c r="A47" s="10"/>
      <c r="B47" s="3"/>
      <c r="C47" s="3"/>
      <c r="D47" s="3"/>
      <c r="E47" s="3"/>
      <c r="F47" s="3"/>
      <c r="G47" s="3"/>
      <c r="H47" s="3"/>
      <c r="I47" s="3"/>
      <c r="J47" s="4"/>
      <c r="K47" s="17"/>
      <c r="L47" s="1"/>
    </row>
    <row r="48" spans="1:12" x14ac:dyDescent="0.25">
      <c r="A48" s="10" t="s">
        <v>46</v>
      </c>
      <c r="B48" s="3"/>
      <c r="C48" s="3"/>
      <c r="D48" s="3"/>
      <c r="E48" s="3"/>
      <c r="F48" s="3"/>
      <c r="G48" s="3"/>
      <c r="H48" s="3"/>
      <c r="I48" s="3"/>
      <c r="J48" s="4"/>
      <c r="K48" s="17"/>
      <c r="L48" s="1"/>
    </row>
    <row r="49" spans="1:12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18"/>
      <c r="L49" s="1"/>
    </row>
    <row r="50" spans="1:12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18"/>
      <c r="L50" s="1"/>
    </row>
    <row r="51" spans="1:12" ht="13.5" customHeight="1" x14ac:dyDescent="0.25">
      <c r="A51" s="109" t="s">
        <v>114</v>
      </c>
      <c r="B51" s="109"/>
      <c r="C51" s="109"/>
      <c r="D51" s="4"/>
      <c r="E51" s="4"/>
      <c r="F51" s="4"/>
      <c r="G51" s="4"/>
      <c r="H51" s="4"/>
      <c r="I51" s="4"/>
      <c r="J51" s="10"/>
      <c r="K51" s="17"/>
      <c r="L51" s="1"/>
    </row>
    <row r="52" spans="1:12" x14ac:dyDescent="0.25">
      <c r="A52" s="4"/>
      <c r="B52" s="4"/>
      <c r="C52" s="4"/>
      <c r="D52" s="4"/>
      <c r="E52" s="4"/>
      <c r="F52" s="4"/>
      <c r="G52" s="4"/>
      <c r="H52" s="4"/>
      <c r="I52" s="4"/>
      <c r="J52" s="15"/>
      <c r="K52" s="17"/>
      <c r="L52" s="1"/>
    </row>
    <row r="53" spans="1:12" x14ac:dyDescent="0.25">
      <c r="A53" s="3"/>
      <c r="B53" s="3"/>
      <c r="C53" s="3"/>
      <c r="D53" s="3"/>
      <c r="E53" s="3"/>
      <c r="F53" s="3"/>
      <c r="G53" s="3"/>
      <c r="H53" s="3"/>
      <c r="I53" s="3"/>
      <c r="J53" s="4"/>
      <c r="K53" s="17"/>
      <c r="L53" s="1"/>
    </row>
    <row r="54" spans="1:12" x14ac:dyDescent="0.25">
      <c r="A54" s="3"/>
      <c r="B54" s="3"/>
      <c r="C54" s="3"/>
      <c r="D54" s="3"/>
      <c r="E54" s="3"/>
      <c r="F54" s="3"/>
      <c r="G54" s="3"/>
      <c r="H54" s="3"/>
      <c r="I54" s="3"/>
      <c r="J54" s="10"/>
      <c r="K54" s="17"/>
      <c r="L54" s="1"/>
    </row>
    <row r="55" spans="1:12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7"/>
      <c r="L55" s="1"/>
    </row>
    <row r="56" spans="1:12" x14ac:dyDescent="0.25">
      <c r="A56" s="4" t="s">
        <v>40</v>
      </c>
      <c r="B56" s="3"/>
      <c r="C56" s="4" t="s">
        <v>116</v>
      </c>
      <c r="D56" s="3"/>
      <c r="E56" s="13" t="s">
        <v>117</v>
      </c>
      <c r="F56" s="3"/>
      <c r="G56" s="4"/>
      <c r="H56" s="14" t="s">
        <v>118</v>
      </c>
      <c r="I56" s="3"/>
      <c r="J56" s="10"/>
      <c r="K56" s="17"/>
      <c r="L56" s="1"/>
    </row>
    <row r="57" spans="1:12" x14ac:dyDescent="0.25">
      <c r="A57" s="4" t="s">
        <v>42</v>
      </c>
      <c r="B57" s="3"/>
      <c r="C57" s="4" t="s">
        <v>105</v>
      </c>
      <c r="D57" s="3"/>
      <c r="E57" s="13" t="s">
        <v>43</v>
      </c>
      <c r="F57" s="3"/>
      <c r="G57" s="4"/>
      <c r="H57" s="16" t="s">
        <v>44</v>
      </c>
      <c r="I57" s="3"/>
      <c r="J57" s="10"/>
      <c r="K57" s="17"/>
      <c r="L57" s="1"/>
    </row>
    <row r="58" spans="1:12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17"/>
      <c r="L58" s="1"/>
    </row>
    <row r="59" spans="1:12" x14ac:dyDescent="0.25">
      <c r="A59" s="4"/>
      <c r="B59" s="4"/>
      <c r="C59" s="4"/>
      <c r="D59" s="4"/>
      <c r="E59" s="4"/>
      <c r="F59" s="4"/>
      <c r="G59" s="4"/>
      <c r="H59" s="11"/>
      <c r="I59" s="4"/>
      <c r="J59" s="12"/>
      <c r="K59" s="2"/>
      <c r="L59" s="1"/>
    </row>
    <row r="60" spans="1:12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L60" s="1"/>
    </row>
    <row r="61" spans="1:12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L61" s="1"/>
    </row>
  </sheetData>
  <mergeCells count="11">
    <mergeCell ref="A1:J1"/>
    <mergeCell ref="A51:C51"/>
    <mergeCell ref="A2:J2"/>
    <mergeCell ref="A23:J23"/>
    <mergeCell ref="B33:B34"/>
    <mergeCell ref="C33:C34"/>
    <mergeCell ref="A32:C32"/>
    <mergeCell ref="G3:J3"/>
    <mergeCell ref="C3:E3"/>
    <mergeCell ref="B3:B4"/>
    <mergeCell ref="A3:A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6"/>
  <sheetViews>
    <sheetView tabSelected="1" topLeftCell="A69" zoomScaleNormal="100" workbookViewId="0">
      <selection activeCell="N73" sqref="N73"/>
    </sheetView>
  </sheetViews>
  <sheetFormatPr defaultRowHeight="15" x14ac:dyDescent="0.25"/>
  <cols>
    <col min="2" max="2" width="31.42578125" customWidth="1"/>
    <col min="3" max="3" width="13" customWidth="1"/>
    <col min="4" max="4" width="3.28515625" customWidth="1"/>
    <col min="5" max="6" width="10.42578125" customWidth="1"/>
    <col min="7" max="10" width="15" bestFit="1" customWidth="1"/>
    <col min="13" max="14" width="15.85546875" bestFit="1" customWidth="1"/>
    <col min="15" max="15" width="16.140625" customWidth="1"/>
    <col min="16" max="16" width="16.28515625" customWidth="1"/>
  </cols>
  <sheetData>
    <row r="1" spans="1:17" ht="79.5" customHeight="1" x14ac:dyDescent="0.25">
      <c r="A1" s="133" t="s">
        <v>60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7" ht="15" customHeight="1" x14ac:dyDescent="0.25">
      <c r="A2" s="25"/>
      <c r="B2" s="25"/>
      <c r="C2" s="25"/>
      <c r="D2" s="25"/>
      <c r="E2" s="25"/>
      <c r="F2" s="25"/>
      <c r="G2" s="25"/>
      <c r="H2" s="25"/>
      <c r="I2" s="26"/>
      <c r="J2" s="3"/>
    </row>
    <row r="3" spans="1:17" x14ac:dyDescent="0.25">
      <c r="A3" s="27" t="s">
        <v>59</v>
      </c>
      <c r="B3" s="28" t="s">
        <v>51</v>
      </c>
      <c r="C3" s="29"/>
      <c r="D3" s="29"/>
      <c r="E3" s="30"/>
      <c r="F3" s="31"/>
      <c r="G3" s="124" t="s">
        <v>50</v>
      </c>
      <c r="H3" s="125"/>
      <c r="I3" s="125"/>
      <c r="J3" s="126"/>
    </row>
    <row r="4" spans="1:17" x14ac:dyDescent="0.25">
      <c r="A4" s="32"/>
      <c r="B4" s="33"/>
      <c r="C4" s="34"/>
      <c r="D4" s="34"/>
      <c r="E4" s="35" t="s">
        <v>61</v>
      </c>
      <c r="F4" s="36" t="s">
        <v>57</v>
      </c>
      <c r="G4" s="37"/>
      <c r="H4" s="38"/>
      <c r="I4" s="38"/>
      <c r="J4" s="38"/>
    </row>
    <row r="5" spans="1:17" x14ac:dyDescent="0.25">
      <c r="A5" s="39">
        <v>0</v>
      </c>
      <c r="B5" s="40" t="s">
        <v>100</v>
      </c>
      <c r="C5" s="41"/>
      <c r="D5" s="41"/>
      <c r="E5" s="36" t="s">
        <v>62</v>
      </c>
      <c r="F5" s="36" t="s">
        <v>58</v>
      </c>
      <c r="G5" s="42">
        <v>2026</v>
      </c>
      <c r="H5" s="36">
        <v>2027</v>
      </c>
      <c r="I5" s="36">
        <v>2028</v>
      </c>
      <c r="J5" s="36">
        <v>2029</v>
      </c>
      <c r="O5" s="81" t="s">
        <v>48</v>
      </c>
      <c r="P5" s="112" t="s">
        <v>37</v>
      </c>
      <c r="Q5" s="112" t="s">
        <v>38</v>
      </c>
    </row>
    <row r="6" spans="1:17" x14ac:dyDescent="0.25">
      <c r="A6" s="40" t="s">
        <v>54</v>
      </c>
      <c r="B6" s="41"/>
      <c r="C6" s="41"/>
      <c r="D6" s="41"/>
      <c r="E6" s="43"/>
      <c r="F6" s="43"/>
      <c r="G6" s="44"/>
      <c r="H6" s="45"/>
      <c r="I6" s="45"/>
      <c r="J6" s="45"/>
      <c r="O6" s="82" t="s">
        <v>49</v>
      </c>
      <c r="P6" s="113"/>
      <c r="Q6" s="113"/>
    </row>
    <row r="7" spans="1:17" x14ac:dyDescent="0.25">
      <c r="A7" s="127" t="s">
        <v>101</v>
      </c>
      <c r="B7" s="127"/>
      <c r="C7" s="127"/>
      <c r="D7" s="127"/>
      <c r="E7" s="48" t="s">
        <v>102</v>
      </c>
      <c r="F7" s="48">
        <v>1500</v>
      </c>
      <c r="G7" s="91">
        <v>400000</v>
      </c>
      <c r="H7" s="91">
        <f>G7*Q8</f>
        <v>413199.99999999994</v>
      </c>
      <c r="I7" s="91">
        <f>H7*Q9</f>
        <v>425595.99999999994</v>
      </c>
      <c r="J7" s="91">
        <f>I7*Q10</f>
        <v>438363.87999999995</v>
      </c>
      <c r="O7" s="5">
        <v>2026</v>
      </c>
      <c r="P7" s="5">
        <v>3.64</v>
      </c>
      <c r="Q7" s="5">
        <f>3.64/100+1</f>
        <v>1.0364</v>
      </c>
    </row>
    <row r="8" spans="1:17" x14ac:dyDescent="0.25">
      <c r="A8" s="132"/>
      <c r="B8" s="132"/>
      <c r="C8" s="132"/>
      <c r="D8" s="132"/>
      <c r="E8" s="79"/>
      <c r="F8" s="79"/>
      <c r="G8" s="80"/>
      <c r="H8" s="80"/>
      <c r="I8" s="80"/>
      <c r="J8" s="80"/>
      <c r="K8" s="24"/>
      <c r="O8" s="5">
        <v>2027</v>
      </c>
      <c r="P8" s="5">
        <v>3.3</v>
      </c>
      <c r="Q8" s="5">
        <f>3.3/100+1</f>
        <v>1.0329999999999999</v>
      </c>
    </row>
    <row r="9" spans="1:17" x14ac:dyDescent="0.25">
      <c r="A9" s="27" t="s">
        <v>59</v>
      </c>
      <c r="B9" s="28" t="s">
        <v>51</v>
      </c>
      <c r="C9" s="29"/>
      <c r="D9" s="29"/>
      <c r="E9" s="30"/>
      <c r="F9" s="31"/>
      <c r="G9" s="125" t="s">
        <v>50</v>
      </c>
      <c r="H9" s="125"/>
      <c r="I9" s="125"/>
      <c r="J9" s="126"/>
      <c r="K9" s="24"/>
      <c r="O9" s="5">
        <v>2028</v>
      </c>
      <c r="P9" s="7">
        <v>3</v>
      </c>
      <c r="Q9" s="8">
        <f>3/100+1</f>
        <v>1.03</v>
      </c>
    </row>
    <row r="10" spans="1:17" x14ac:dyDescent="0.25">
      <c r="A10" s="32"/>
      <c r="B10" s="33"/>
      <c r="C10" s="34"/>
      <c r="D10" s="34"/>
      <c r="E10" s="35" t="s">
        <v>61</v>
      </c>
      <c r="F10" s="36" t="s">
        <v>57</v>
      </c>
      <c r="G10" s="37"/>
      <c r="H10" s="38"/>
      <c r="I10" s="38"/>
      <c r="J10" s="38"/>
      <c r="O10" s="5">
        <v>2029</v>
      </c>
      <c r="P10" s="7">
        <v>3</v>
      </c>
      <c r="Q10" s="8">
        <f>3/100+1</f>
        <v>1.03</v>
      </c>
    </row>
    <row r="11" spans="1:17" x14ac:dyDescent="0.25">
      <c r="A11" s="39">
        <v>1</v>
      </c>
      <c r="B11" s="40" t="s">
        <v>52</v>
      </c>
      <c r="C11" s="41"/>
      <c r="D11" s="41"/>
      <c r="E11" s="36" t="s">
        <v>62</v>
      </c>
      <c r="F11" s="36" t="s">
        <v>58</v>
      </c>
      <c r="G11" s="42">
        <v>2026</v>
      </c>
      <c r="H11" s="36">
        <v>2027</v>
      </c>
      <c r="I11" s="36">
        <v>2028</v>
      </c>
      <c r="J11" s="36">
        <v>2029</v>
      </c>
    </row>
    <row r="12" spans="1:17" x14ac:dyDescent="0.25">
      <c r="A12" s="40" t="s">
        <v>54</v>
      </c>
      <c r="B12" s="41"/>
      <c r="C12" s="41"/>
      <c r="D12" s="41"/>
      <c r="E12" s="43"/>
      <c r="F12" s="43"/>
      <c r="G12" s="44"/>
      <c r="H12" s="45"/>
      <c r="I12" s="45"/>
      <c r="J12" s="45"/>
      <c r="P12" s="85"/>
    </row>
    <row r="13" spans="1:17" x14ac:dyDescent="0.25">
      <c r="A13" s="127" t="s">
        <v>104</v>
      </c>
      <c r="B13" s="127"/>
      <c r="C13" s="127"/>
      <c r="D13" s="127"/>
      <c r="E13" s="57" t="s">
        <v>103</v>
      </c>
      <c r="F13" s="48">
        <v>1500</v>
      </c>
      <c r="G13" s="53">
        <v>1653540</v>
      </c>
      <c r="H13" s="53">
        <v>1769288</v>
      </c>
      <c r="I13" s="53">
        <v>1883138</v>
      </c>
      <c r="J13" s="53">
        <v>2025658</v>
      </c>
    </row>
    <row r="14" spans="1:17" x14ac:dyDescent="0.25">
      <c r="A14" s="123"/>
      <c r="B14" s="123"/>
      <c r="C14" s="123"/>
      <c r="D14" s="123"/>
      <c r="E14" s="123"/>
      <c r="F14" s="123"/>
      <c r="G14" s="123"/>
      <c r="H14" s="123"/>
      <c r="I14" s="123"/>
      <c r="J14" s="123"/>
    </row>
    <row r="15" spans="1:17" x14ac:dyDescent="0.25">
      <c r="A15" s="27" t="s">
        <v>59</v>
      </c>
      <c r="B15" s="28" t="s">
        <v>51</v>
      </c>
      <c r="C15" s="29"/>
      <c r="D15" s="29"/>
      <c r="E15" s="30"/>
      <c r="F15" s="31"/>
      <c r="G15" s="124" t="s">
        <v>50</v>
      </c>
      <c r="H15" s="125"/>
      <c r="I15" s="125"/>
      <c r="J15" s="126"/>
    </row>
    <row r="16" spans="1:17" x14ac:dyDescent="0.25">
      <c r="A16" s="32"/>
      <c r="B16" s="33"/>
      <c r="C16" s="34"/>
      <c r="D16" s="34"/>
      <c r="E16" s="35" t="s">
        <v>61</v>
      </c>
      <c r="F16" s="36" t="s">
        <v>57</v>
      </c>
      <c r="G16" s="37"/>
      <c r="H16" s="38"/>
      <c r="I16" s="38"/>
      <c r="J16" s="38"/>
    </row>
    <row r="17" spans="1:16" x14ac:dyDescent="0.25">
      <c r="A17" s="39">
        <v>2</v>
      </c>
      <c r="B17" s="40" t="s">
        <v>53</v>
      </c>
      <c r="C17" s="41"/>
      <c r="D17" s="41"/>
      <c r="E17" s="36" t="s">
        <v>62</v>
      </c>
      <c r="F17" s="36" t="s">
        <v>58</v>
      </c>
      <c r="G17" s="42">
        <v>2026</v>
      </c>
      <c r="H17" s="36">
        <v>2027</v>
      </c>
      <c r="I17" s="36">
        <v>2028</v>
      </c>
      <c r="J17" s="36">
        <v>2029</v>
      </c>
    </row>
    <row r="18" spans="1:16" x14ac:dyDescent="0.25">
      <c r="A18" s="40" t="s">
        <v>54</v>
      </c>
      <c r="B18" s="41"/>
      <c r="C18" s="41"/>
      <c r="D18" s="41"/>
      <c r="E18" s="43"/>
      <c r="F18" s="43"/>
      <c r="G18" s="44"/>
      <c r="H18" s="45"/>
      <c r="I18" s="45"/>
      <c r="J18" s="45"/>
    </row>
    <row r="19" spans="1:16" x14ac:dyDescent="0.25">
      <c r="A19" s="46" t="s">
        <v>55</v>
      </c>
      <c r="B19" s="47"/>
      <c r="C19" s="47"/>
      <c r="D19" s="47"/>
      <c r="E19" s="48" t="s">
        <v>63</v>
      </c>
      <c r="F19" s="49" t="s">
        <v>73</v>
      </c>
      <c r="G19" s="88">
        <v>1100000</v>
      </c>
      <c r="H19" s="89">
        <f>G19*Q8</f>
        <v>1136300</v>
      </c>
      <c r="I19" s="89">
        <f>H19*Q9</f>
        <v>1170389</v>
      </c>
      <c r="J19" s="89">
        <f>I19*Q9</f>
        <v>1205500.67</v>
      </c>
      <c r="M19" s="92">
        <f>G7+G26+G27+G28+G29+G35+40000</f>
        <v>3343420.2</v>
      </c>
      <c r="N19" s="92">
        <f>H7+H26+H27+H28+H29+H35+41320.03</f>
        <v>3453753.0965999993</v>
      </c>
      <c r="O19" s="92">
        <f>I7+I26+I27+I28+I29+I35+42559.64</f>
        <v>3557365.6985980002</v>
      </c>
      <c r="P19" s="92">
        <f>J7+J26+J27+J28+J29+J35+43836.46</f>
        <v>3664086.7003559396</v>
      </c>
    </row>
    <row r="20" spans="1:16" x14ac:dyDescent="0.25">
      <c r="A20" s="46" t="s">
        <v>56</v>
      </c>
      <c r="B20" s="47"/>
      <c r="C20" s="47"/>
      <c r="D20" s="47"/>
      <c r="E20" s="48" t="s">
        <v>64</v>
      </c>
      <c r="F20" s="48">
        <v>1500</v>
      </c>
      <c r="G20" s="90">
        <v>50000</v>
      </c>
      <c r="H20" s="91">
        <f>G20*Q8</f>
        <v>51649.999999999993</v>
      </c>
      <c r="I20" s="91">
        <f>H20*Q9</f>
        <v>53199.499999999993</v>
      </c>
      <c r="J20" s="91">
        <f>I20*Q10</f>
        <v>54795.484999999993</v>
      </c>
      <c r="N20" s="92"/>
    </row>
    <row r="21" spans="1:16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</row>
    <row r="22" spans="1:16" x14ac:dyDescent="0.25">
      <c r="A22" s="27" t="s">
        <v>59</v>
      </c>
      <c r="B22" s="28" t="s">
        <v>51</v>
      </c>
      <c r="C22" s="29"/>
      <c r="D22" s="29"/>
      <c r="E22" s="30"/>
      <c r="F22" s="31"/>
      <c r="G22" s="124" t="s">
        <v>50</v>
      </c>
      <c r="H22" s="125"/>
      <c r="I22" s="125"/>
      <c r="J22" s="126"/>
    </row>
    <row r="23" spans="1:16" x14ac:dyDescent="0.25">
      <c r="A23" s="32"/>
      <c r="B23" s="33"/>
      <c r="C23" s="34"/>
      <c r="D23" s="34"/>
      <c r="E23" s="35" t="s">
        <v>61</v>
      </c>
      <c r="F23" s="36" t="s">
        <v>57</v>
      </c>
      <c r="G23" s="37"/>
      <c r="H23" s="38"/>
      <c r="I23" s="38"/>
      <c r="J23" s="38"/>
    </row>
    <row r="24" spans="1:16" x14ac:dyDescent="0.25">
      <c r="A24" s="39">
        <v>3</v>
      </c>
      <c r="B24" s="40" t="s">
        <v>65</v>
      </c>
      <c r="C24" s="41"/>
      <c r="D24" s="41"/>
      <c r="E24" s="36" t="s">
        <v>62</v>
      </c>
      <c r="F24" s="36" t="s">
        <v>58</v>
      </c>
      <c r="G24" s="42">
        <v>2026</v>
      </c>
      <c r="H24" s="36">
        <v>2027</v>
      </c>
      <c r="I24" s="36">
        <v>2028</v>
      </c>
      <c r="J24" s="36">
        <v>2029</v>
      </c>
    </row>
    <row r="25" spans="1:16" x14ac:dyDescent="0.25">
      <c r="A25" s="40" t="s">
        <v>54</v>
      </c>
      <c r="B25" s="41"/>
      <c r="C25" s="41"/>
      <c r="D25" s="41"/>
      <c r="E25" s="43"/>
      <c r="F25" s="43"/>
      <c r="G25" s="44"/>
      <c r="H25" s="45"/>
      <c r="I25" s="45"/>
      <c r="J25" s="45"/>
    </row>
    <row r="26" spans="1:16" x14ac:dyDescent="0.25">
      <c r="A26" s="58" t="s">
        <v>123</v>
      </c>
      <c r="B26" s="41"/>
      <c r="C26" s="41"/>
      <c r="D26" s="41"/>
      <c r="E26" s="59" t="s">
        <v>63</v>
      </c>
      <c r="F26" s="59" t="s">
        <v>69</v>
      </c>
      <c r="G26" s="86">
        <v>43420.2</v>
      </c>
      <c r="H26" s="87">
        <f>G26*Q8</f>
        <v>44853.066599999991</v>
      </c>
      <c r="I26" s="87">
        <f>H26*Q9</f>
        <v>46198.658597999995</v>
      </c>
      <c r="J26" s="87">
        <f>I26*Q10</f>
        <v>47584.618355939994</v>
      </c>
    </row>
    <row r="27" spans="1:16" x14ac:dyDescent="0.25">
      <c r="A27" s="46" t="s">
        <v>68</v>
      </c>
      <c r="B27" s="47"/>
      <c r="C27" s="47"/>
      <c r="D27" s="56"/>
      <c r="E27" s="48" t="s">
        <v>63</v>
      </c>
      <c r="F27" s="49">
        <v>1500</v>
      </c>
      <c r="G27" s="88">
        <v>40000</v>
      </c>
      <c r="H27" s="89">
        <f>G27*Q8</f>
        <v>41320</v>
      </c>
      <c r="I27" s="87">
        <f>H27*Q9</f>
        <v>42559.6</v>
      </c>
      <c r="J27" s="89">
        <f>I27*Q10</f>
        <v>43836.387999999999</v>
      </c>
    </row>
    <row r="28" spans="1:16" x14ac:dyDescent="0.25">
      <c r="A28" s="46" t="s">
        <v>70</v>
      </c>
      <c r="B28" s="47"/>
      <c r="C28" s="47"/>
      <c r="D28" s="56"/>
      <c r="E28" s="48" t="s">
        <v>63</v>
      </c>
      <c r="F28" s="48">
        <v>1500</v>
      </c>
      <c r="G28" s="90">
        <v>20000</v>
      </c>
      <c r="H28" s="91">
        <f>G28*Q8</f>
        <v>20660</v>
      </c>
      <c r="I28" s="87">
        <f>H28*Q9</f>
        <v>21279.8</v>
      </c>
      <c r="J28" s="91">
        <f>I28*Q10</f>
        <v>21918.194</v>
      </c>
    </row>
    <row r="29" spans="1:16" x14ac:dyDescent="0.25">
      <c r="A29" s="46" t="s">
        <v>67</v>
      </c>
      <c r="B29" s="47"/>
      <c r="C29" s="47"/>
      <c r="D29" s="56"/>
      <c r="E29" s="48" t="s">
        <v>66</v>
      </c>
      <c r="F29" s="48" t="s">
        <v>69</v>
      </c>
      <c r="G29" s="90">
        <v>2000000</v>
      </c>
      <c r="H29" s="91">
        <f>G29*Q8</f>
        <v>2065999.9999999998</v>
      </c>
      <c r="I29" s="87">
        <f>H29*Q9</f>
        <v>2127980</v>
      </c>
      <c r="J29" s="91">
        <f>I29*Q10</f>
        <v>2191819.4</v>
      </c>
    </row>
    <row r="30" spans="1:16" x14ac:dyDescent="0.25">
      <c r="A30" s="54"/>
      <c r="B30" s="54"/>
      <c r="C30" s="54"/>
      <c r="D30" s="54"/>
      <c r="E30" s="54"/>
      <c r="F30" s="54"/>
      <c r="G30" s="54"/>
      <c r="H30" s="54"/>
      <c r="I30" s="54"/>
      <c r="J30" s="54"/>
    </row>
    <row r="31" spans="1:16" x14ac:dyDescent="0.25">
      <c r="A31" s="27" t="s">
        <v>59</v>
      </c>
      <c r="B31" s="28" t="s">
        <v>51</v>
      </c>
      <c r="C31" s="29"/>
      <c r="D31" s="29"/>
      <c r="E31" s="30"/>
      <c r="F31" s="31"/>
      <c r="G31" s="124" t="s">
        <v>50</v>
      </c>
      <c r="H31" s="125"/>
      <c r="I31" s="125"/>
      <c r="J31" s="126"/>
    </row>
    <row r="32" spans="1:16" x14ac:dyDescent="0.25">
      <c r="A32" s="32"/>
      <c r="B32" s="33"/>
      <c r="C32" s="34"/>
      <c r="D32" s="34"/>
      <c r="E32" s="35" t="s">
        <v>61</v>
      </c>
      <c r="F32" s="36" t="s">
        <v>57</v>
      </c>
      <c r="G32" s="37"/>
      <c r="H32" s="38"/>
      <c r="I32" s="38"/>
      <c r="J32" s="38"/>
    </row>
    <row r="33" spans="1:16" x14ac:dyDescent="0.25">
      <c r="A33" s="39">
        <v>4</v>
      </c>
      <c r="B33" s="40" t="s">
        <v>71</v>
      </c>
      <c r="C33" s="41"/>
      <c r="D33" s="41"/>
      <c r="E33" s="36" t="s">
        <v>62</v>
      </c>
      <c r="F33" s="36" t="s">
        <v>58</v>
      </c>
      <c r="G33" s="42">
        <v>2026</v>
      </c>
      <c r="H33" s="36">
        <v>2027</v>
      </c>
      <c r="I33" s="36">
        <v>2028</v>
      </c>
      <c r="J33" s="36">
        <v>2029</v>
      </c>
      <c r="M33" s="85"/>
    </row>
    <row r="34" spans="1:16" x14ac:dyDescent="0.25">
      <c r="A34" s="40" t="s">
        <v>54</v>
      </c>
      <c r="B34" s="41"/>
      <c r="C34" s="41"/>
      <c r="D34" s="41"/>
      <c r="E34" s="43"/>
      <c r="F34" s="43"/>
      <c r="G34" s="44"/>
      <c r="H34" s="45"/>
      <c r="I34" s="45"/>
      <c r="J34" s="45"/>
    </row>
    <row r="35" spans="1:16" x14ac:dyDescent="0.25">
      <c r="A35" s="46" t="s">
        <v>72</v>
      </c>
      <c r="B35" s="47"/>
      <c r="C35" s="47"/>
      <c r="D35" s="56"/>
      <c r="E35" s="48" t="s">
        <v>63</v>
      </c>
      <c r="F35" s="48" t="s">
        <v>73</v>
      </c>
      <c r="G35" s="53">
        <v>800000</v>
      </c>
      <c r="H35" s="53">
        <f>G35*Q8</f>
        <v>826399.99999999988</v>
      </c>
      <c r="I35" s="53">
        <f>H35*Q9</f>
        <v>851191.99999999988</v>
      </c>
      <c r="J35" s="53">
        <f>I35*Q10</f>
        <v>876727.75999999989</v>
      </c>
    </row>
    <row r="36" spans="1:16" x14ac:dyDescent="0.25">
      <c r="A36" s="55"/>
      <c r="B36" s="55"/>
      <c r="C36" s="55"/>
      <c r="D36" s="55"/>
      <c r="E36" s="55"/>
      <c r="F36" s="55"/>
      <c r="G36" s="55"/>
      <c r="H36" s="55"/>
      <c r="I36" s="55"/>
      <c r="J36" s="55"/>
    </row>
    <row r="37" spans="1:16" x14ac:dyDescent="0.25">
      <c r="A37" s="27" t="s">
        <v>59</v>
      </c>
      <c r="B37" s="28" t="s">
        <v>51</v>
      </c>
      <c r="C37" s="29"/>
      <c r="D37" s="29"/>
      <c r="E37" s="30"/>
      <c r="F37" s="31"/>
      <c r="G37" s="124" t="s">
        <v>50</v>
      </c>
      <c r="H37" s="125"/>
      <c r="I37" s="125"/>
      <c r="J37" s="126"/>
      <c r="M37" s="85">
        <f>G41+G42+G48+G49+G50+G51+G52+7790892.52</f>
        <v>8692892.5199999996</v>
      </c>
      <c r="N37" s="85">
        <f>H41+H42+H48+H49+H50+H51+H52+8047992.06</f>
        <v>8979758.0599999987</v>
      </c>
      <c r="O37" s="85">
        <f>I41+I42+I48+I49+I50+I51+I52+8289431.84</f>
        <v>9249150.8200000003</v>
      </c>
      <c r="P37" s="85">
        <f>J41+J42+J48+J49+J50+J51+J52+8538114.87</f>
        <v>9526625.4193999991</v>
      </c>
    </row>
    <row r="38" spans="1:16" x14ac:dyDescent="0.25">
      <c r="A38" s="32"/>
      <c r="B38" s="33"/>
      <c r="C38" s="34"/>
      <c r="D38" s="34"/>
      <c r="E38" s="35" t="s">
        <v>61</v>
      </c>
      <c r="F38" s="36" t="s">
        <v>57</v>
      </c>
      <c r="G38" s="37"/>
      <c r="H38" s="38"/>
      <c r="I38" s="38"/>
      <c r="J38" s="38"/>
    </row>
    <row r="39" spans="1:16" x14ac:dyDescent="0.25">
      <c r="A39" s="39">
        <v>5</v>
      </c>
      <c r="B39" s="40" t="s">
        <v>74</v>
      </c>
      <c r="C39" s="41"/>
      <c r="D39" s="41"/>
      <c r="E39" s="36" t="s">
        <v>62</v>
      </c>
      <c r="F39" s="36" t="s">
        <v>58</v>
      </c>
      <c r="G39" s="42">
        <v>2026</v>
      </c>
      <c r="H39" s="36">
        <v>2027</v>
      </c>
      <c r="I39" s="36">
        <v>2028</v>
      </c>
      <c r="J39" s="36">
        <v>2029</v>
      </c>
    </row>
    <row r="40" spans="1:16" x14ac:dyDescent="0.25">
      <c r="A40" s="40" t="s">
        <v>54</v>
      </c>
      <c r="B40" s="41"/>
      <c r="C40" s="41"/>
      <c r="D40" s="41"/>
      <c r="E40" s="43"/>
      <c r="F40" s="43"/>
      <c r="G40" s="44"/>
      <c r="H40" s="45"/>
      <c r="I40" s="45"/>
      <c r="J40" s="45"/>
    </row>
    <row r="41" spans="1:16" x14ac:dyDescent="0.25">
      <c r="A41" s="46" t="s">
        <v>75</v>
      </c>
      <c r="B41" s="47"/>
      <c r="C41" s="47"/>
      <c r="D41" s="56"/>
      <c r="E41" s="48" t="s">
        <v>77</v>
      </c>
      <c r="F41" s="49" t="s">
        <v>69</v>
      </c>
      <c r="G41" s="50">
        <v>100000</v>
      </c>
      <c r="H41" s="51">
        <f>G41*O44</f>
        <v>103299.99999999999</v>
      </c>
      <c r="I41" s="51">
        <f>H41*O45</f>
        <v>106398.99999999999</v>
      </c>
      <c r="J41" s="51">
        <f>I41*O46</f>
        <v>109590.96999999999</v>
      </c>
      <c r="M41" s="104" t="s">
        <v>48</v>
      </c>
      <c r="N41" s="112" t="s">
        <v>37</v>
      </c>
      <c r="O41" s="112" t="s">
        <v>38</v>
      </c>
    </row>
    <row r="42" spans="1:16" x14ac:dyDescent="0.25">
      <c r="A42" s="46" t="s">
        <v>76</v>
      </c>
      <c r="B42" s="47"/>
      <c r="C42" s="47"/>
      <c r="D42" s="56"/>
      <c r="E42" s="48" t="s">
        <v>77</v>
      </c>
      <c r="F42" s="48">
        <v>1500</v>
      </c>
      <c r="G42" s="52">
        <v>500000</v>
      </c>
      <c r="H42" s="53">
        <f>G42*O44</f>
        <v>516499.99999999994</v>
      </c>
      <c r="I42" s="53">
        <f>H42*O45</f>
        <v>531995</v>
      </c>
      <c r="J42" s="53">
        <f>I42*O46</f>
        <v>547954.85</v>
      </c>
      <c r="M42" s="105" t="s">
        <v>49</v>
      </c>
      <c r="N42" s="113"/>
      <c r="O42" s="113"/>
    </row>
    <row r="43" spans="1:16" x14ac:dyDescent="0.25">
      <c r="A43" s="54"/>
      <c r="B43" s="54"/>
      <c r="C43" s="54"/>
      <c r="D43" s="54"/>
      <c r="E43" s="54"/>
      <c r="F43" s="54"/>
      <c r="G43" s="54"/>
      <c r="H43" s="54"/>
      <c r="I43" s="54"/>
      <c r="J43" s="54"/>
      <c r="M43" s="5">
        <v>2026</v>
      </c>
      <c r="N43" s="5">
        <v>3.64</v>
      </c>
      <c r="O43" s="5">
        <f>3.64/100+1</f>
        <v>1.0364</v>
      </c>
    </row>
    <row r="44" spans="1:16" x14ac:dyDescent="0.25">
      <c r="A44" s="27" t="s">
        <v>59</v>
      </c>
      <c r="B44" s="28" t="s">
        <v>51</v>
      </c>
      <c r="C44" s="29"/>
      <c r="D44" s="29"/>
      <c r="E44" s="30"/>
      <c r="F44" s="31"/>
      <c r="G44" s="124" t="s">
        <v>50</v>
      </c>
      <c r="H44" s="125"/>
      <c r="I44" s="125"/>
      <c r="J44" s="126"/>
      <c r="M44" s="5">
        <v>2027</v>
      </c>
      <c r="N44" s="5">
        <v>3.3</v>
      </c>
      <c r="O44" s="5">
        <f>3.3/100+1</f>
        <v>1.0329999999999999</v>
      </c>
    </row>
    <row r="45" spans="1:16" x14ac:dyDescent="0.25">
      <c r="A45" s="32"/>
      <c r="B45" s="33"/>
      <c r="C45" s="34"/>
      <c r="D45" s="34"/>
      <c r="E45" s="35" t="s">
        <v>61</v>
      </c>
      <c r="F45" s="36" t="s">
        <v>57</v>
      </c>
      <c r="G45" s="37"/>
      <c r="H45" s="38"/>
      <c r="I45" s="38"/>
      <c r="J45" s="38"/>
      <c r="M45" s="5">
        <v>2028</v>
      </c>
      <c r="N45" s="7">
        <v>3</v>
      </c>
      <c r="O45" s="8">
        <f>3/100+1</f>
        <v>1.03</v>
      </c>
    </row>
    <row r="46" spans="1:16" x14ac:dyDescent="0.25">
      <c r="A46" s="39">
        <v>6</v>
      </c>
      <c r="B46" s="40" t="s">
        <v>78</v>
      </c>
      <c r="C46" s="41"/>
      <c r="D46" s="41"/>
      <c r="E46" s="36" t="s">
        <v>62</v>
      </c>
      <c r="F46" s="36" t="s">
        <v>58</v>
      </c>
      <c r="G46" s="42">
        <v>2026</v>
      </c>
      <c r="H46" s="36">
        <v>2027</v>
      </c>
      <c r="I46" s="36">
        <v>2028</v>
      </c>
      <c r="J46" s="36">
        <v>2029</v>
      </c>
      <c r="M46" s="5">
        <v>2029</v>
      </c>
      <c r="N46" s="7">
        <v>3</v>
      </c>
      <c r="O46" s="8">
        <f>3/100+1</f>
        <v>1.03</v>
      </c>
    </row>
    <row r="47" spans="1:16" x14ac:dyDescent="0.25">
      <c r="A47" s="40" t="s">
        <v>54</v>
      </c>
      <c r="B47" s="41"/>
      <c r="C47" s="41"/>
      <c r="D47" s="41"/>
      <c r="E47" s="43"/>
      <c r="F47" s="43"/>
      <c r="G47" s="44"/>
      <c r="H47" s="45"/>
      <c r="I47" s="45"/>
      <c r="J47" s="45"/>
    </row>
    <row r="48" spans="1:16" x14ac:dyDescent="0.25">
      <c r="A48" s="46" t="s">
        <v>79</v>
      </c>
      <c r="B48" s="47"/>
      <c r="C48" s="47"/>
      <c r="D48" s="56"/>
      <c r="E48" s="101" t="s">
        <v>131</v>
      </c>
      <c r="F48" s="49">
        <v>1500</v>
      </c>
      <c r="G48" s="50">
        <v>50000</v>
      </c>
      <c r="H48" s="106">
        <f>G48*O44</f>
        <v>51649.999999999993</v>
      </c>
      <c r="I48" s="107">
        <f>H48*O45</f>
        <v>53199.499999999993</v>
      </c>
      <c r="J48" s="107">
        <f>I48*O46</f>
        <v>54795.484999999993</v>
      </c>
    </row>
    <row r="49" spans="1:16" x14ac:dyDescent="0.25">
      <c r="A49" s="46" t="s">
        <v>80</v>
      </c>
      <c r="B49" s="47"/>
      <c r="C49" s="47"/>
      <c r="D49" s="56"/>
      <c r="E49" s="48" t="s">
        <v>81</v>
      </c>
      <c r="F49" s="48">
        <v>1500</v>
      </c>
      <c r="G49" s="50">
        <v>12000</v>
      </c>
      <c r="H49" s="51">
        <f>G49*O44</f>
        <v>12395.999999999998</v>
      </c>
      <c r="I49" s="51">
        <f>H49*O45</f>
        <v>12767.88</v>
      </c>
      <c r="J49" s="51">
        <f>I49*O46</f>
        <v>13150.9164</v>
      </c>
    </row>
    <row r="50" spans="1:16" x14ac:dyDescent="0.25">
      <c r="A50" s="99" t="s">
        <v>132</v>
      </c>
      <c r="B50" s="98"/>
      <c r="C50" s="98"/>
      <c r="D50" s="98"/>
      <c r="E50" s="99" t="s">
        <v>128</v>
      </c>
      <c r="F50" s="97">
        <v>1500</v>
      </c>
      <c r="G50" s="50">
        <v>10000</v>
      </c>
      <c r="H50" s="51">
        <f>G50*O44</f>
        <v>10330</v>
      </c>
      <c r="I50" s="51">
        <f>H50*O45</f>
        <v>10639.9</v>
      </c>
      <c r="J50" s="51">
        <f>I50*O46</f>
        <v>10959.097</v>
      </c>
    </row>
    <row r="51" spans="1:16" x14ac:dyDescent="0.25">
      <c r="A51" s="103" t="s">
        <v>126</v>
      </c>
      <c r="B51" s="103"/>
      <c r="C51" s="103"/>
      <c r="D51" s="103"/>
      <c r="E51" s="99" t="s">
        <v>81</v>
      </c>
      <c r="F51" s="99" t="s">
        <v>127</v>
      </c>
      <c r="G51" s="53">
        <v>60000</v>
      </c>
      <c r="H51" s="53">
        <f>G51*O44</f>
        <v>61979.999999999993</v>
      </c>
      <c r="I51" s="53">
        <f>H51*O45</f>
        <v>63839.399999999994</v>
      </c>
      <c r="J51" s="53">
        <f>I51*O46</f>
        <v>65754.581999999995</v>
      </c>
    </row>
    <row r="52" spans="1:16" x14ac:dyDescent="0.25">
      <c r="A52" s="100" t="s">
        <v>130</v>
      </c>
      <c r="B52" s="100"/>
      <c r="C52" s="100"/>
      <c r="D52" s="100"/>
      <c r="E52" s="102" t="s">
        <v>129</v>
      </c>
      <c r="F52" s="49">
        <v>1500</v>
      </c>
      <c r="G52" s="51">
        <v>170000</v>
      </c>
      <c r="H52" s="51">
        <f>G52*O44</f>
        <v>175610</v>
      </c>
      <c r="I52" s="51">
        <f>H52*O45</f>
        <v>180878.30000000002</v>
      </c>
      <c r="J52" s="51">
        <f>I52*O46</f>
        <v>186304.64900000003</v>
      </c>
      <c r="K52" s="100"/>
      <c r="L52" s="100"/>
    </row>
    <row r="53" spans="1:16" x14ac:dyDescent="0.25">
      <c r="A53" s="123"/>
      <c r="B53" s="123"/>
      <c r="C53" s="123"/>
      <c r="D53" s="123"/>
      <c r="E53" s="123"/>
      <c r="F53" s="123"/>
      <c r="G53" s="123"/>
      <c r="H53" s="123"/>
      <c r="I53" s="123"/>
      <c r="J53" s="123"/>
    </row>
    <row r="54" spans="1:16" x14ac:dyDescent="0.25">
      <c r="A54" s="27" t="s">
        <v>59</v>
      </c>
      <c r="B54" s="28" t="s">
        <v>51</v>
      </c>
      <c r="C54" s="29"/>
      <c r="D54" s="29"/>
      <c r="E54" s="30"/>
      <c r="F54" s="31"/>
      <c r="G54" s="124" t="s">
        <v>50</v>
      </c>
      <c r="H54" s="125"/>
      <c r="I54" s="125"/>
      <c r="J54" s="126"/>
      <c r="M54" s="85">
        <f>G58+G59+8466917.67</f>
        <v>9546917.6699999999</v>
      </c>
      <c r="N54" s="85">
        <f>H58+H59+8685144.88</f>
        <v>9800784.8800000008</v>
      </c>
      <c r="O54" s="85">
        <f>I58+I59+8884927.89</f>
        <v>10034037.09</v>
      </c>
      <c r="P54" s="85">
        <f>J58+J59+9065449.96</f>
        <v>10249032.436000001</v>
      </c>
    </row>
    <row r="55" spans="1:16" x14ac:dyDescent="0.25">
      <c r="A55" s="32"/>
      <c r="B55" s="33"/>
      <c r="C55" s="34"/>
      <c r="D55" s="34"/>
      <c r="E55" s="35" t="s">
        <v>61</v>
      </c>
      <c r="F55" s="36" t="s">
        <v>57</v>
      </c>
      <c r="G55" s="37"/>
      <c r="H55" s="38"/>
      <c r="I55" s="38"/>
      <c r="J55" s="38"/>
    </row>
    <row r="56" spans="1:16" x14ac:dyDescent="0.25">
      <c r="A56" s="39">
        <v>7</v>
      </c>
      <c r="B56" s="40" t="s">
        <v>82</v>
      </c>
      <c r="C56" s="41"/>
      <c r="D56" s="41"/>
      <c r="E56" s="36" t="s">
        <v>62</v>
      </c>
      <c r="F56" s="36" t="s">
        <v>58</v>
      </c>
      <c r="G56" s="42">
        <v>2026</v>
      </c>
      <c r="H56" s="36">
        <v>2027</v>
      </c>
      <c r="I56" s="36">
        <v>2028</v>
      </c>
      <c r="J56" s="36">
        <v>2029</v>
      </c>
    </row>
    <row r="57" spans="1:16" x14ac:dyDescent="0.25">
      <c r="A57" s="40" t="s">
        <v>54</v>
      </c>
      <c r="B57" s="41"/>
      <c r="C57" s="41"/>
      <c r="D57" s="41"/>
      <c r="E57" s="43"/>
      <c r="F57" s="43"/>
      <c r="G57" s="44"/>
      <c r="H57" s="45"/>
      <c r="I57" s="45"/>
      <c r="J57" s="45"/>
    </row>
    <row r="58" spans="1:16" x14ac:dyDescent="0.25">
      <c r="A58" s="46" t="s">
        <v>83</v>
      </c>
      <c r="B58" s="47"/>
      <c r="C58" s="47"/>
      <c r="D58" s="56"/>
      <c r="E58" s="48" t="s">
        <v>85</v>
      </c>
      <c r="F58" s="49" t="s">
        <v>69</v>
      </c>
      <c r="G58" s="50">
        <v>80000</v>
      </c>
      <c r="H58" s="51">
        <f>G58*O61</f>
        <v>82640</v>
      </c>
      <c r="I58" s="51">
        <f>H58*O62</f>
        <v>85119.2</v>
      </c>
      <c r="J58" s="51">
        <f>I58*O63</f>
        <v>87672.775999999998</v>
      </c>
      <c r="M58" s="83" t="s">
        <v>48</v>
      </c>
      <c r="N58" s="112" t="s">
        <v>37</v>
      </c>
      <c r="O58" s="112" t="s">
        <v>38</v>
      </c>
    </row>
    <row r="59" spans="1:16" x14ac:dyDescent="0.25">
      <c r="A59" s="46" t="s">
        <v>84</v>
      </c>
      <c r="B59" s="47"/>
      <c r="C59" s="47"/>
      <c r="D59" s="56"/>
      <c r="E59" s="48" t="s">
        <v>85</v>
      </c>
      <c r="F59" s="48" t="s">
        <v>86</v>
      </c>
      <c r="G59" s="52">
        <v>1000000</v>
      </c>
      <c r="H59" s="53">
        <f>G59*O61</f>
        <v>1032999.9999999999</v>
      </c>
      <c r="I59" s="53">
        <f>H59*O62</f>
        <v>1063990</v>
      </c>
      <c r="J59" s="53">
        <f>I59*O63</f>
        <v>1095909.7</v>
      </c>
      <c r="M59" s="84" t="s">
        <v>49</v>
      </c>
      <c r="N59" s="113"/>
      <c r="O59" s="113"/>
    </row>
    <row r="60" spans="1:16" x14ac:dyDescent="0.25">
      <c r="A60" s="131"/>
      <c r="B60" s="131"/>
      <c r="C60" s="131"/>
      <c r="D60" s="131"/>
      <c r="E60" s="131"/>
      <c r="F60" s="131"/>
      <c r="G60" s="131"/>
      <c r="H60" s="131"/>
      <c r="I60" s="131"/>
      <c r="J60" s="131"/>
      <c r="M60" s="5">
        <v>2026</v>
      </c>
      <c r="N60" s="5">
        <v>3.64</v>
      </c>
      <c r="O60" s="5">
        <f>3.64/100+1</f>
        <v>1.0364</v>
      </c>
    </row>
    <row r="61" spans="1:16" x14ac:dyDescent="0.25">
      <c r="A61" s="27" t="s">
        <v>59</v>
      </c>
      <c r="B61" s="28" t="s">
        <v>51</v>
      </c>
      <c r="C61" s="29"/>
      <c r="D61" s="29"/>
      <c r="E61" s="30"/>
      <c r="F61" s="31"/>
      <c r="G61" s="124" t="s">
        <v>50</v>
      </c>
      <c r="H61" s="125"/>
      <c r="I61" s="125"/>
      <c r="J61" s="126"/>
      <c r="M61" s="5">
        <v>2027</v>
      </c>
      <c r="N61" s="5">
        <v>3.3</v>
      </c>
      <c r="O61" s="5">
        <f>3.3/100+1</f>
        <v>1.0329999999999999</v>
      </c>
    </row>
    <row r="62" spans="1:16" x14ac:dyDescent="0.25">
      <c r="A62" s="32"/>
      <c r="B62" s="33"/>
      <c r="C62" s="34"/>
      <c r="D62" s="34"/>
      <c r="E62" s="35" t="s">
        <v>61</v>
      </c>
      <c r="F62" s="36" t="s">
        <v>57</v>
      </c>
      <c r="G62" s="37"/>
      <c r="H62" s="38"/>
      <c r="I62" s="38"/>
      <c r="J62" s="38"/>
      <c r="M62" s="5">
        <v>2028</v>
      </c>
      <c r="N62" s="7">
        <v>3</v>
      </c>
      <c r="O62" s="8">
        <f>3/100+1</f>
        <v>1.03</v>
      </c>
    </row>
    <row r="63" spans="1:16" x14ac:dyDescent="0.25">
      <c r="A63" s="39">
        <v>8</v>
      </c>
      <c r="B63" s="40" t="s">
        <v>87</v>
      </c>
      <c r="C63" s="41"/>
      <c r="D63" s="41"/>
      <c r="E63" s="36" t="s">
        <v>62</v>
      </c>
      <c r="F63" s="36" t="s">
        <v>58</v>
      </c>
      <c r="G63" s="42">
        <v>2026</v>
      </c>
      <c r="H63" s="36">
        <v>2027</v>
      </c>
      <c r="I63" s="36">
        <v>2028</v>
      </c>
      <c r="J63" s="36">
        <v>2029</v>
      </c>
      <c r="M63" s="5">
        <v>2029</v>
      </c>
      <c r="N63" s="7">
        <v>3</v>
      </c>
      <c r="O63" s="8">
        <f>3/100+1</f>
        <v>1.03</v>
      </c>
    </row>
    <row r="64" spans="1:16" x14ac:dyDescent="0.25">
      <c r="A64" s="40" t="s">
        <v>54</v>
      </c>
      <c r="B64" s="41"/>
      <c r="C64" s="41"/>
      <c r="D64" s="41"/>
      <c r="E64" s="43"/>
      <c r="F64" s="43"/>
      <c r="G64" s="44"/>
      <c r="H64" s="45"/>
      <c r="I64" s="45"/>
      <c r="J64" s="45"/>
    </row>
    <row r="65" spans="1:16" x14ac:dyDescent="0.25">
      <c r="A65" s="46" t="s">
        <v>125</v>
      </c>
      <c r="B65" s="47"/>
      <c r="C65" s="47"/>
      <c r="D65" s="56"/>
      <c r="E65" s="48" t="s">
        <v>89</v>
      </c>
      <c r="F65" s="49" t="s">
        <v>69</v>
      </c>
      <c r="G65" s="50">
        <v>120000</v>
      </c>
      <c r="H65" s="51">
        <f>G65*O61</f>
        <v>123959.99999999999</v>
      </c>
      <c r="I65" s="51">
        <f>H65*O62</f>
        <v>127678.79999999999</v>
      </c>
      <c r="J65" s="51">
        <f>I65*O63</f>
        <v>131509.16399999999</v>
      </c>
    </row>
    <row r="66" spans="1:16" x14ac:dyDescent="0.25">
      <c r="A66" s="46" t="s">
        <v>88</v>
      </c>
      <c r="B66" s="47"/>
      <c r="C66" s="47"/>
      <c r="D66" s="56"/>
      <c r="E66" s="48" t="s">
        <v>90</v>
      </c>
      <c r="F66" s="48">
        <v>1500</v>
      </c>
      <c r="G66" s="52">
        <v>1278633.81</v>
      </c>
      <c r="H66" s="51">
        <f>G66*O61</f>
        <v>1320828.7257300001</v>
      </c>
      <c r="I66" s="51">
        <f>H66*O62</f>
        <v>1360453.5875019</v>
      </c>
      <c r="J66" s="51">
        <f>I66*O63</f>
        <v>1401267.195126957</v>
      </c>
      <c r="M66" s="85">
        <f>G65+G66+G72+1979128.41</f>
        <v>3677762.2199999997</v>
      </c>
      <c r="N66" s="85">
        <f>H65+H66+H72+2044439.68</f>
        <v>3799128.4057299998</v>
      </c>
      <c r="O66" s="85">
        <f>I65+I66+I72+2105772.88</f>
        <v>3913102.2675019</v>
      </c>
      <c r="P66" s="85">
        <f>J65+J66+J72+2168946.1</f>
        <v>4030495.3691269574</v>
      </c>
    </row>
    <row r="67" spans="1:16" x14ac:dyDescent="0.25">
      <c r="A67" s="122"/>
      <c r="B67" s="122"/>
      <c r="C67" s="122"/>
      <c r="D67" s="122"/>
      <c r="E67" s="122"/>
      <c r="F67" s="122"/>
      <c r="G67" s="122"/>
      <c r="H67" s="122"/>
      <c r="I67" s="122"/>
      <c r="J67" s="122"/>
    </row>
    <row r="68" spans="1:16" x14ac:dyDescent="0.25">
      <c r="A68" s="27" t="s">
        <v>59</v>
      </c>
      <c r="B68" s="28" t="s">
        <v>51</v>
      </c>
      <c r="C68" s="29"/>
      <c r="D68" s="29"/>
      <c r="E68" s="30"/>
      <c r="F68" s="31"/>
      <c r="G68" s="124" t="s">
        <v>50</v>
      </c>
      <c r="H68" s="125"/>
      <c r="I68" s="125"/>
      <c r="J68" s="126"/>
    </row>
    <row r="69" spans="1:16" x14ac:dyDescent="0.25">
      <c r="A69" s="32"/>
      <c r="B69" s="33"/>
      <c r="C69" s="34"/>
      <c r="D69" s="34"/>
      <c r="E69" s="35" t="s">
        <v>61</v>
      </c>
      <c r="F69" s="36" t="s">
        <v>57</v>
      </c>
      <c r="G69" s="37"/>
      <c r="H69" s="38"/>
      <c r="I69" s="38"/>
      <c r="J69" s="38"/>
      <c r="M69" s="18"/>
      <c r="N69" s="18"/>
      <c r="O69" s="18"/>
    </row>
    <row r="70" spans="1:16" x14ac:dyDescent="0.25">
      <c r="A70" s="39">
        <v>9</v>
      </c>
      <c r="B70" s="40" t="s">
        <v>91</v>
      </c>
      <c r="C70" s="41"/>
      <c r="D70" s="41"/>
      <c r="E70" s="36" t="s">
        <v>62</v>
      </c>
      <c r="F70" s="36" t="s">
        <v>58</v>
      </c>
      <c r="G70" s="42">
        <v>2026</v>
      </c>
      <c r="H70" s="36">
        <v>2027</v>
      </c>
      <c r="I70" s="36">
        <v>2028</v>
      </c>
      <c r="J70" s="36">
        <v>2029</v>
      </c>
      <c r="M70" s="94"/>
      <c r="N70" s="134"/>
      <c r="O70" s="134"/>
    </row>
    <row r="71" spans="1:16" x14ac:dyDescent="0.25">
      <c r="A71" s="40" t="s">
        <v>54</v>
      </c>
      <c r="B71" s="41"/>
      <c r="C71" s="41"/>
      <c r="D71" s="41"/>
      <c r="E71" s="43"/>
      <c r="F71" s="43"/>
      <c r="G71" s="44"/>
      <c r="H71" s="45"/>
      <c r="I71" s="45"/>
      <c r="J71" s="45"/>
      <c r="M71" s="94"/>
      <c r="N71" s="134"/>
      <c r="O71" s="134"/>
    </row>
    <row r="72" spans="1:16" x14ac:dyDescent="0.25">
      <c r="A72" s="128" t="s">
        <v>92</v>
      </c>
      <c r="B72" s="129"/>
      <c r="C72" s="129"/>
      <c r="D72" s="130"/>
      <c r="E72" s="48" t="s">
        <v>93</v>
      </c>
      <c r="F72" s="48">
        <v>1500</v>
      </c>
      <c r="G72" s="53">
        <v>300000</v>
      </c>
      <c r="H72" s="53">
        <f>G72*O61</f>
        <v>309900</v>
      </c>
      <c r="I72" s="53">
        <f>H72*O62</f>
        <v>319197</v>
      </c>
      <c r="J72" s="53">
        <f>I72*O63</f>
        <v>328772.91000000003</v>
      </c>
      <c r="M72" s="94"/>
      <c r="N72" s="94"/>
      <c r="O72" s="94"/>
    </row>
    <row r="73" spans="1:16" x14ac:dyDescent="0.25">
      <c r="A73" s="121"/>
      <c r="B73" s="121"/>
      <c r="C73" s="121"/>
      <c r="D73" s="121"/>
      <c r="E73" s="121"/>
      <c r="F73" s="121"/>
      <c r="G73" s="121"/>
      <c r="H73" s="121"/>
      <c r="I73" s="121"/>
      <c r="J73" s="121"/>
      <c r="M73" s="94"/>
      <c r="N73" s="94"/>
      <c r="O73" s="94"/>
    </row>
    <row r="74" spans="1:16" x14ac:dyDescent="0.25">
      <c r="A74" s="27" t="s">
        <v>59</v>
      </c>
      <c r="B74" s="28" t="s">
        <v>51</v>
      </c>
      <c r="C74" s="29"/>
      <c r="D74" s="29"/>
      <c r="E74" s="30"/>
      <c r="F74" s="31"/>
      <c r="G74" s="124" t="s">
        <v>50</v>
      </c>
      <c r="H74" s="125"/>
      <c r="I74" s="125"/>
      <c r="J74" s="126"/>
      <c r="M74" s="94"/>
      <c r="N74" s="95"/>
      <c r="O74" s="96"/>
    </row>
    <row r="75" spans="1:16" x14ac:dyDescent="0.25">
      <c r="A75" s="32"/>
      <c r="B75" s="33"/>
      <c r="C75" s="34"/>
      <c r="D75" s="34"/>
      <c r="E75" s="35" t="s">
        <v>61</v>
      </c>
      <c r="F75" s="36" t="s">
        <v>57</v>
      </c>
      <c r="G75" s="37"/>
      <c r="H75" s="38"/>
      <c r="I75" s="38"/>
      <c r="J75" s="38"/>
      <c r="M75" s="94"/>
      <c r="N75" s="95"/>
      <c r="O75" s="96"/>
    </row>
    <row r="76" spans="1:16" x14ac:dyDescent="0.25">
      <c r="A76" s="39">
        <v>10</v>
      </c>
      <c r="B76" s="40" t="s">
        <v>94</v>
      </c>
      <c r="C76" s="41"/>
      <c r="D76" s="41"/>
      <c r="E76" s="36" t="s">
        <v>62</v>
      </c>
      <c r="F76" s="36" t="s">
        <v>58</v>
      </c>
      <c r="G76" s="42">
        <v>2026</v>
      </c>
      <c r="H76" s="36">
        <v>2027</v>
      </c>
      <c r="I76" s="36">
        <v>2028</v>
      </c>
      <c r="J76" s="36">
        <v>2029</v>
      </c>
      <c r="M76" s="93"/>
      <c r="N76" s="93"/>
      <c r="O76" s="93"/>
    </row>
    <row r="77" spans="1:16" x14ac:dyDescent="0.25">
      <c r="A77" s="40" t="s">
        <v>54</v>
      </c>
      <c r="B77" s="41"/>
      <c r="C77" s="41"/>
      <c r="D77" s="41"/>
      <c r="E77" s="43"/>
      <c r="F77" s="43"/>
      <c r="G77" s="44"/>
      <c r="H77" s="45"/>
      <c r="I77" s="45"/>
      <c r="J77" s="45"/>
    </row>
    <row r="78" spans="1:16" x14ac:dyDescent="0.25">
      <c r="A78" s="46" t="s">
        <v>124</v>
      </c>
      <c r="B78" s="47"/>
      <c r="C78" s="47"/>
      <c r="D78" s="56"/>
      <c r="E78" s="48" t="s">
        <v>97</v>
      </c>
      <c r="F78" s="49" t="s">
        <v>69</v>
      </c>
      <c r="G78" s="50">
        <v>120000</v>
      </c>
      <c r="H78" s="51">
        <f>G78*Q8</f>
        <v>123959.99999999999</v>
      </c>
      <c r="I78" s="51">
        <f>H78*Q9</f>
        <v>127678.79999999999</v>
      </c>
      <c r="J78" s="51">
        <f>I78*Q10</f>
        <v>131509.16399999999</v>
      </c>
      <c r="M78" s="85">
        <f>G78+G79+3895130.3</f>
        <v>5015130.3</v>
      </c>
      <c r="N78" s="85">
        <f>H78+H79+4023669.65</f>
        <v>5180629.6499999994</v>
      </c>
      <c r="O78" s="85">
        <f>I78+I79+4144379.75</f>
        <v>5336048.55</v>
      </c>
      <c r="P78" s="85">
        <f>J78+J79+4268711.19</f>
        <v>5496130.0540000005</v>
      </c>
    </row>
    <row r="79" spans="1:16" x14ac:dyDescent="0.25">
      <c r="A79" s="46" t="s">
        <v>95</v>
      </c>
      <c r="B79" s="47"/>
      <c r="C79" s="47"/>
      <c r="D79" s="56"/>
      <c r="E79" s="48" t="s">
        <v>96</v>
      </c>
      <c r="F79" s="48">
        <v>1500</v>
      </c>
      <c r="G79" s="52">
        <v>1000000</v>
      </c>
      <c r="H79" s="53">
        <f>G79*Q8</f>
        <v>1032999.9999999999</v>
      </c>
      <c r="I79" s="53">
        <f>H79*Q9</f>
        <v>1063990</v>
      </c>
      <c r="J79" s="53">
        <f>I79*Q10</f>
        <v>1095909.7</v>
      </c>
    </row>
    <row r="80" spans="1:16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x14ac:dyDescent="0.25">
      <c r="A81" s="27" t="s">
        <v>59</v>
      </c>
      <c r="B81" s="28" t="s">
        <v>51</v>
      </c>
      <c r="C81" s="29"/>
      <c r="D81" s="29"/>
      <c r="E81" s="30"/>
      <c r="F81" s="31"/>
      <c r="G81" s="124" t="s">
        <v>50</v>
      </c>
      <c r="H81" s="125"/>
      <c r="I81" s="125"/>
      <c r="J81" s="126"/>
    </row>
    <row r="82" spans="1:10" x14ac:dyDescent="0.25">
      <c r="A82" s="32"/>
      <c r="B82" s="33"/>
      <c r="C82" s="34"/>
      <c r="D82" s="34"/>
      <c r="E82" s="35" t="s">
        <v>61</v>
      </c>
      <c r="F82" s="36" t="s">
        <v>57</v>
      </c>
      <c r="G82" s="37"/>
      <c r="H82" s="38"/>
      <c r="I82" s="38"/>
      <c r="J82" s="38"/>
    </row>
    <row r="83" spans="1:10" x14ac:dyDescent="0.25">
      <c r="A83" s="39">
        <v>9999</v>
      </c>
      <c r="B83" s="40" t="s">
        <v>98</v>
      </c>
      <c r="C83" s="41"/>
      <c r="D83" s="41"/>
      <c r="E83" s="36" t="s">
        <v>62</v>
      </c>
      <c r="F83" s="36" t="s">
        <v>58</v>
      </c>
      <c r="G83" s="42">
        <v>2026</v>
      </c>
      <c r="H83" s="36">
        <v>2027</v>
      </c>
      <c r="I83" s="36">
        <v>2028</v>
      </c>
      <c r="J83" s="36">
        <v>2029</v>
      </c>
    </row>
    <row r="84" spans="1:10" x14ac:dyDescent="0.25">
      <c r="A84" s="40" t="s">
        <v>54</v>
      </c>
      <c r="B84" s="41"/>
      <c r="C84" s="41"/>
      <c r="D84" s="41"/>
      <c r="E84" s="43"/>
      <c r="F84" s="43"/>
      <c r="G84" s="44"/>
      <c r="H84" s="45"/>
      <c r="I84" s="45"/>
      <c r="J84" s="45"/>
    </row>
    <row r="85" spans="1:10" x14ac:dyDescent="0.25">
      <c r="A85" s="128" t="s">
        <v>98</v>
      </c>
      <c r="B85" s="129"/>
      <c r="C85" s="129"/>
      <c r="D85" s="130"/>
      <c r="E85" s="48" t="s">
        <v>99</v>
      </c>
      <c r="F85" s="48">
        <v>1500</v>
      </c>
      <c r="G85" s="53">
        <v>334342.02</v>
      </c>
      <c r="H85" s="53">
        <v>345375.31</v>
      </c>
      <c r="I85" s="53">
        <v>355736.57</v>
      </c>
      <c r="J85" s="53">
        <v>366408.67</v>
      </c>
    </row>
    <row r="86" spans="1:10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</row>
    <row r="87" spans="1:10" ht="16.5" customHeight="1" x14ac:dyDescent="0.25">
      <c r="A87" s="109" t="s">
        <v>133</v>
      </c>
      <c r="B87" s="109"/>
      <c r="C87" s="109"/>
      <c r="D87" s="109"/>
      <c r="E87" s="109"/>
      <c r="F87" s="109"/>
      <c r="G87" s="109"/>
      <c r="H87" s="109"/>
      <c r="I87" s="109"/>
      <c r="J87" s="21"/>
    </row>
    <row r="88" spans="1:10" ht="1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2"/>
    </row>
    <row r="89" spans="1:1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5">
      <c r="A91" s="4" t="s">
        <v>106</v>
      </c>
      <c r="B91" s="2"/>
      <c r="C91" s="4" t="s">
        <v>110</v>
      </c>
      <c r="D91" s="2"/>
      <c r="E91" s="13" t="s">
        <v>109</v>
      </c>
      <c r="F91" s="2"/>
      <c r="G91" s="4"/>
      <c r="H91" s="14" t="s">
        <v>41</v>
      </c>
      <c r="I91" s="2"/>
      <c r="J91" s="2"/>
    </row>
    <row r="92" spans="1:10" x14ac:dyDescent="0.25">
      <c r="A92" s="4" t="s">
        <v>107</v>
      </c>
      <c r="B92" s="2"/>
      <c r="C92" s="4" t="s">
        <v>105</v>
      </c>
      <c r="D92" s="2"/>
      <c r="E92" s="13" t="s">
        <v>108</v>
      </c>
      <c r="F92" s="2"/>
      <c r="G92" s="4"/>
      <c r="H92" s="16" t="s">
        <v>44</v>
      </c>
      <c r="I92" s="2"/>
      <c r="J92" s="2"/>
    </row>
    <row r="93" spans="1:10" x14ac:dyDescent="0.25">
      <c r="J93" s="1"/>
    </row>
    <row r="96" spans="1:10" x14ac:dyDescent="0.25">
      <c r="G96" s="85">
        <f>G85+G79+G78+G72+G66+G65+G59+G58+G52+G51+G50+G49+G48+G42+G41+G35+G29+G28+G27+G26+G20+G19+G13+G7+22172265.97</f>
        <v>33414202</v>
      </c>
      <c r="H96" s="85">
        <f>H85+H79+H78+H72+H66+H65+H59+H58+H52+H51+H50+H49+H48+H42+H41+H35+H29+H28+H27+H26+H20+H19+H13+H7+22863429.9</f>
        <v>34537531.002329998</v>
      </c>
      <c r="I96" s="85">
        <f>I85+I79+I78+I72+I66+I65+I59+I58+I52+I51+I50+I49+I48+I42+I41+I35+I29+I28+I27+I26+I20+I19+I13+I7+23488561.5</f>
        <v>35573656.996099904</v>
      </c>
      <c r="J96" s="85">
        <f>J85+J79+J78+J72+J66+J65+J59+J58+J52+J51+J50+J49+J48+J42+J41+J35+J29+J28+J27+J26+J20+J19+J13+J7+24107192.76</f>
        <v>36640866.983882897</v>
      </c>
    </row>
  </sheetData>
  <mergeCells count="32">
    <mergeCell ref="N58:N59"/>
    <mergeCell ref="O58:O59"/>
    <mergeCell ref="N70:N71"/>
    <mergeCell ref="O70:O71"/>
    <mergeCell ref="G3:J3"/>
    <mergeCell ref="G22:J22"/>
    <mergeCell ref="G31:J31"/>
    <mergeCell ref="G37:J37"/>
    <mergeCell ref="G44:J44"/>
    <mergeCell ref="N41:N42"/>
    <mergeCell ref="O41:O42"/>
    <mergeCell ref="A8:D8"/>
    <mergeCell ref="A7:D7"/>
    <mergeCell ref="A1:J1"/>
    <mergeCell ref="G9:J9"/>
    <mergeCell ref="G15:J15"/>
    <mergeCell ref="P5:P6"/>
    <mergeCell ref="Q5:Q6"/>
    <mergeCell ref="A87:I87"/>
    <mergeCell ref="A73:J73"/>
    <mergeCell ref="A67:J67"/>
    <mergeCell ref="A53:J53"/>
    <mergeCell ref="G61:J61"/>
    <mergeCell ref="G68:J68"/>
    <mergeCell ref="G74:J74"/>
    <mergeCell ref="G81:J81"/>
    <mergeCell ref="A13:D13"/>
    <mergeCell ref="A14:J14"/>
    <mergeCell ref="A85:D85"/>
    <mergeCell ref="A72:D72"/>
    <mergeCell ref="A60:J60"/>
    <mergeCell ref="G54:J5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RECEITA</vt:lpstr>
      <vt:lpstr>GESTÃO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2025-06-26T17:01:04Z</cp:lastPrinted>
  <dcterms:created xsi:type="dcterms:W3CDTF">2025-05-20T18:17:41Z</dcterms:created>
  <dcterms:modified xsi:type="dcterms:W3CDTF">2025-06-26T17:01:15Z</dcterms:modified>
</cp:coreProperties>
</file>